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6375" windowWidth="4605" windowHeight="1755"/>
  </bookViews>
  <sheets>
    <sheet name="Read Me" sheetId="4" r:id="rId1"/>
    <sheet name="Table 19" sheetId="2" r:id="rId2"/>
    <sheet name="Table 20" sheetId="6" r:id="rId3"/>
    <sheet name="Table 21" sheetId="7" r:id="rId4"/>
    <sheet name="Table 22" sheetId="9" r:id="rId5"/>
    <sheet name="Table 23" sheetId="10" r:id="rId6"/>
  </sheets>
  <calcPr calcId="125725"/>
</workbook>
</file>

<file path=xl/calcChain.xml><?xml version="1.0" encoding="utf-8"?>
<calcChain xmlns="http://schemas.openxmlformats.org/spreadsheetml/2006/main">
  <c r="X31" i="7"/>
  <c r="F5" i="9"/>
  <c r="G5"/>
  <c r="I5"/>
  <c r="J5"/>
  <c r="K5"/>
  <c r="M5"/>
  <c r="N5"/>
  <c r="O5"/>
  <c r="P5"/>
  <c r="Q5"/>
  <c r="R5"/>
  <c r="S5"/>
  <c r="T5"/>
  <c r="U5"/>
  <c r="V5"/>
  <c r="W5"/>
  <c r="E6"/>
  <c r="F6"/>
  <c r="G6"/>
  <c r="I6"/>
  <c r="J6"/>
  <c r="K6"/>
  <c r="M6"/>
  <c r="N6"/>
  <c r="O6"/>
  <c r="P6"/>
  <c r="Q6"/>
  <c r="R6"/>
  <c r="S6"/>
  <c r="T6"/>
  <c r="U6"/>
  <c r="V6"/>
  <c r="W6"/>
  <c r="F7"/>
  <c r="G7"/>
  <c r="I7"/>
  <c r="J7"/>
  <c r="K7"/>
  <c r="M7"/>
  <c r="N7"/>
  <c r="O7"/>
  <c r="Q7"/>
  <c r="R7"/>
  <c r="S7"/>
  <c r="T7"/>
  <c r="U7"/>
  <c r="V7"/>
  <c r="W7"/>
  <c r="E8"/>
  <c r="F8"/>
  <c r="G8"/>
  <c r="H8"/>
  <c r="I8"/>
  <c r="J8"/>
  <c r="K8"/>
  <c r="L8"/>
  <c r="M8"/>
  <c r="N8"/>
  <c r="P8"/>
  <c r="R8"/>
  <c r="S8"/>
  <c r="T8"/>
  <c r="U8"/>
  <c r="V8"/>
  <c r="W8"/>
  <c r="F9"/>
  <c r="G9"/>
  <c r="I9"/>
  <c r="J9"/>
  <c r="K9"/>
  <c r="M9"/>
  <c r="N9"/>
  <c r="O9"/>
  <c r="P9"/>
  <c r="R9"/>
  <c r="S9"/>
  <c r="T9"/>
  <c r="U9"/>
  <c r="V9"/>
  <c r="W9"/>
  <c r="F10"/>
  <c r="G10"/>
  <c r="I10"/>
  <c r="J10"/>
  <c r="K10"/>
  <c r="M10"/>
  <c r="N10"/>
  <c r="O10"/>
  <c r="Q10"/>
  <c r="R10"/>
  <c r="S10"/>
  <c r="T10"/>
  <c r="U10"/>
  <c r="V10"/>
  <c r="W10"/>
  <c r="F11"/>
  <c r="G11"/>
  <c r="I11"/>
  <c r="J11"/>
  <c r="K11"/>
  <c r="L11"/>
  <c r="M11"/>
  <c r="N11"/>
  <c r="O11"/>
  <c r="P11"/>
  <c r="Q11"/>
  <c r="R11"/>
  <c r="S11"/>
  <c r="T11"/>
  <c r="U11"/>
  <c r="V11"/>
  <c r="W11"/>
  <c r="E12"/>
  <c r="F12"/>
  <c r="G12"/>
  <c r="I12"/>
  <c r="J12"/>
  <c r="K12"/>
  <c r="M12"/>
  <c r="N12"/>
  <c r="O12"/>
  <c r="R12"/>
  <c r="S12"/>
  <c r="T12"/>
  <c r="U12"/>
  <c r="V12"/>
  <c r="W12"/>
  <c r="E13"/>
  <c r="F13"/>
  <c r="G13"/>
  <c r="H13"/>
  <c r="I13"/>
  <c r="J13"/>
  <c r="K13"/>
  <c r="M13"/>
  <c r="N13"/>
  <c r="O13"/>
  <c r="P13"/>
  <c r="Q13"/>
  <c r="R13"/>
  <c r="S13"/>
  <c r="T13"/>
  <c r="U13"/>
  <c r="V13"/>
  <c r="W13"/>
  <c r="E14"/>
  <c r="F14"/>
  <c r="G14"/>
  <c r="I14"/>
  <c r="J14"/>
  <c r="K14"/>
  <c r="M14"/>
  <c r="O14"/>
  <c r="P14"/>
  <c r="Q14"/>
  <c r="R14"/>
  <c r="S14"/>
  <c r="T14"/>
  <c r="U14"/>
  <c r="V14"/>
  <c r="W14"/>
  <c r="E15"/>
  <c r="F15"/>
  <c r="G15"/>
  <c r="I15"/>
  <c r="J15"/>
  <c r="K15"/>
  <c r="M15"/>
  <c r="N15"/>
  <c r="O15"/>
  <c r="P15"/>
  <c r="Q15"/>
  <c r="R15"/>
  <c r="S15"/>
  <c r="T15"/>
  <c r="U15"/>
  <c r="V15"/>
  <c r="W15"/>
  <c r="F16"/>
  <c r="G16"/>
  <c r="I16"/>
  <c r="J16"/>
  <c r="K16"/>
  <c r="M16"/>
  <c r="N16"/>
  <c r="O16"/>
  <c r="P16"/>
  <c r="Q16"/>
  <c r="R16"/>
  <c r="S16"/>
  <c r="T16"/>
  <c r="U16"/>
  <c r="V16"/>
  <c r="W16"/>
  <c r="F17"/>
  <c r="G17"/>
  <c r="I17"/>
  <c r="J17"/>
  <c r="K17"/>
  <c r="L17"/>
  <c r="M17"/>
  <c r="N17"/>
  <c r="P17"/>
  <c r="Q17"/>
  <c r="R17"/>
  <c r="S17"/>
  <c r="T17"/>
  <c r="U17"/>
  <c r="V17"/>
  <c r="W17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F19"/>
  <c r="G19"/>
  <c r="I19"/>
  <c r="J19"/>
  <c r="M19"/>
  <c r="O19"/>
  <c r="P19"/>
  <c r="Q19"/>
  <c r="R19"/>
  <c r="S19"/>
  <c r="T19"/>
  <c r="U19"/>
  <c r="V19"/>
  <c r="W19"/>
  <c r="F20"/>
  <c r="G20"/>
  <c r="H20"/>
  <c r="I20"/>
  <c r="J20"/>
  <c r="K20"/>
  <c r="L20"/>
  <c r="M20"/>
  <c r="N20"/>
  <c r="O20"/>
  <c r="P20"/>
  <c r="R20"/>
  <c r="S20"/>
  <c r="T20"/>
  <c r="U20"/>
  <c r="V20"/>
  <c r="W20"/>
  <c r="G21"/>
  <c r="I21"/>
  <c r="J21"/>
  <c r="K21"/>
  <c r="L21"/>
  <c r="M21"/>
  <c r="O21"/>
  <c r="P21"/>
  <c r="R21"/>
  <c r="S21"/>
  <c r="T21"/>
  <c r="U21"/>
  <c r="V21"/>
  <c r="W21"/>
  <c r="F22"/>
  <c r="G22"/>
  <c r="I22"/>
  <c r="J22"/>
  <c r="K22"/>
  <c r="M22"/>
  <c r="O22"/>
  <c r="P22"/>
  <c r="R22"/>
  <c r="S22"/>
  <c r="T22"/>
  <c r="U22"/>
  <c r="V22"/>
  <c r="W22"/>
  <c r="F23"/>
  <c r="G23"/>
  <c r="I23"/>
  <c r="J23"/>
  <c r="K23"/>
  <c r="L23"/>
  <c r="M23"/>
  <c r="O23"/>
  <c r="P23"/>
  <c r="R23"/>
  <c r="S23"/>
  <c r="T23"/>
  <c r="U23"/>
  <c r="V23"/>
  <c r="W23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F25"/>
  <c r="G25"/>
  <c r="J25"/>
  <c r="M25"/>
  <c r="N25"/>
  <c r="O25"/>
  <c r="P25"/>
  <c r="R25"/>
  <c r="S25"/>
  <c r="T25"/>
  <c r="U25"/>
  <c r="V25"/>
  <c r="W25"/>
  <c r="F26"/>
  <c r="G26"/>
  <c r="I26"/>
  <c r="J26"/>
  <c r="K26"/>
  <c r="M26"/>
  <c r="N26"/>
  <c r="O26"/>
  <c r="P26"/>
  <c r="Q26"/>
  <c r="R26"/>
  <c r="S26"/>
  <c r="T26"/>
  <c r="U26"/>
  <c r="V26"/>
  <c r="W26"/>
  <c r="F27"/>
  <c r="G27"/>
  <c r="I27"/>
  <c r="J27"/>
  <c r="K27"/>
  <c r="M27"/>
  <c r="O27"/>
  <c r="P27"/>
  <c r="Q27"/>
  <c r="R27"/>
  <c r="S27"/>
  <c r="T27"/>
  <c r="U27"/>
  <c r="V27"/>
  <c r="W27"/>
  <c r="F28"/>
  <c r="G28"/>
  <c r="I28"/>
  <c r="J28"/>
  <c r="K28"/>
  <c r="M28"/>
  <c r="N28"/>
  <c r="O28"/>
  <c r="P28"/>
  <c r="R28"/>
  <c r="S28"/>
  <c r="T28"/>
  <c r="U28"/>
  <c r="V28"/>
  <c r="W28"/>
  <c r="G29"/>
  <c r="I29"/>
  <c r="J29"/>
  <c r="K29"/>
  <c r="M29"/>
  <c r="N29"/>
  <c r="P29"/>
  <c r="Q29"/>
  <c r="R29"/>
  <c r="S29"/>
  <c r="T29"/>
  <c r="U29"/>
  <c r="V29"/>
  <c r="W29"/>
  <c r="F30"/>
  <c r="G30"/>
  <c r="I30"/>
  <c r="J30"/>
  <c r="K30"/>
  <c r="M30"/>
  <c r="N30"/>
  <c r="O30"/>
  <c r="Q30"/>
  <c r="R30"/>
  <c r="S30"/>
  <c r="T30"/>
  <c r="U30"/>
  <c r="V30"/>
  <c r="W30"/>
  <c r="E31"/>
  <c r="F31"/>
  <c r="G31"/>
  <c r="I31"/>
  <c r="J31"/>
  <c r="K31"/>
  <c r="M31"/>
  <c r="N31"/>
  <c r="O31"/>
  <c r="P31"/>
  <c r="R31"/>
  <c r="S31"/>
  <c r="T31"/>
  <c r="U31"/>
  <c r="V31"/>
  <c r="W31"/>
  <c r="F32"/>
  <c r="G32"/>
  <c r="I32"/>
  <c r="J32"/>
  <c r="K32"/>
  <c r="M32"/>
  <c r="O32"/>
  <c r="P32"/>
  <c r="Q32"/>
  <c r="R32"/>
  <c r="S32"/>
  <c r="T32"/>
  <c r="U32"/>
  <c r="V32"/>
  <c r="W32"/>
  <c r="F33"/>
  <c r="G33"/>
  <c r="I33"/>
  <c r="J33"/>
  <c r="K33"/>
  <c r="M33"/>
  <c r="N33"/>
  <c r="O33"/>
  <c r="P33"/>
  <c r="Q33"/>
  <c r="R33"/>
  <c r="S33"/>
  <c r="T33"/>
  <c r="U33"/>
  <c r="V33"/>
  <c r="W33"/>
  <c r="F34"/>
  <c r="G34"/>
  <c r="I34"/>
  <c r="J34"/>
  <c r="K34"/>
  <c r="M34"/>
  <c r="N34"/>
  <c r="O34"/>
  <c r="P34"/>
  <c r="Q34"/>
  <c r="R34"/>
  <c r="S34"/>
  <c r="T34"/>
  <c r="U34"/>
  <c r="V34"/>
  <c r="W34"/>
  <c r="F35"/>
  <c r="G35"/>
  <c r="I35"/>
  <c r="J35"/>
  <c r="K35"/>
  <c r="M35"/>
  <c r="N35"/>
  <c r="O35"/>
  <c r="P35"/>
  <c r="Q35"/>
  <c r="R35"/>
  <c r="S35"/>
  <c r="T35"/>
  <c r="U35"/>
  <c r="V35"/>
  <c r="W35"/>
  <c r="F36"/>
  <c r="G36"/>
  <c r="I36"/>
  <c r="J36"/>
  <c r="K36"/>
  <c r="M36"/>
  <c r="N36"/>
  <c r="O36"/>
  <c r="P36"/>
  <c r="Q36"/>
  <c r="R36"/>
  <c r="S36"/>
  <c r="T36"/>
  <c r="U36"/>
  <c r="V36"/>
  <c r="W36"/>
  <c r="F37"/>
  <c r="G37"/>
  <c r="I37"/>
  <c r="J37"/>
  <c r="K37"/>
  <c r="M37"/>
  <c r="N37"/>
  <c r="O37"/>
  <c r="P37"/>
  <c r="Q37"/>
  <c r="R37"/>
  <c r="S37"/>
  <c r="T37"/>
  <c r="U37"/>
  <c r="V37"/>
  <c r="W37"/>
  <c r="E38"/>
  <c r="F38"/>
  <c r="G38"/>
  <c r="I38"/>
  <c r="J38"/>
  <c r="K38"/>
  <c r="M38"/>
  <c r="N38"/>
  <c r="O38"/>
  <c r="P38"/>
  <c r="Q38"/>
  <c r="R38"/>
  <c r="S38"/>
  <c r="T38"/>
  <c r="U38"/>
  <c r="V38"/>
  <c r="W38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F40"/>
  <c r="G40"/>
  <c r="I40"/>
  <c r="J40"/>
  <c r="K40"/>
  <c r="M40"/>
  <c r="N40"/>
  <c r="O40"/>
  <c r="P40"/>
  <c r="Q40"/>
  <c r="R40"/>
  <c r="S40"/>
  <c r="T40"/>
  <c r="U40"/>
  <c r="V40"/>
  <c r="W40"/>
  <c r="F41"/>
  <c r="G41"/>
  <c r="I41"/>
  <c r="J41"/>
  <c r="K41"/>
  <c r="M41"/>
  <c r="N41"/>
  <c r="O41"/>
  <c r="P41"/>
  <c r="Q41"/>
  <c r="R41"/>
  <c r="S41"/>
  <c r="T41"/>
  <c r="U41"/>
  <c r="V41"/>
  <c r="W41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F43"/>
  <c r="G43"/>
  <c r="I43"/>
  <c r="J43"/>
  <c r="K43"/>
  <c r="M43"/>
  <c r="N43"/>
  <c r="P43"/>
  <c r="Q43"/>
  <c r="R43"/>
  <c r="S43"/>
  <c r="T43"/>
  <c r="U43"/>
  <c r="V43"/>
  <c r="W43"/>
  <c r="F4"/>
  <c r="G4"/>
  <c r="I4"/>
  <c r="J4"/>
  <c r="K4"/>
  <c r="M4"/>
  <c r="N4"/>
  <c r="O4"/>
  <c r="P4"/>
  <c r="Q4"/>
  <c r="R4"/>
  <c r="S4"/>
  <c r="T4"/>
  <c r="U4"/>
  <c r="V4"/>
  <c r="W4"/>
  <c r="I3"/>
  <c r="J3"/>
  <c r="K3"/>
  <c r="M3"/>
  <c r="N3"/>
  <c r="O3"/>
  <c r="P3"/>
  <c r="Q3"/>
  <c r="R3"/>
  <c r="S3"/>
  <c r="T3"/>
  <c r="U3"/>
  <c r="V3"/>
  <c r="W3"/>
  <c r="F3"/>
  <c r="G3"/>
  <c r="X4" i="2"/>
  <c r="X5"/>
  <c r="X6"/>
  <c r="X7"/>
  <c r="X8"/>
  <c r="X9"/>
  <c r="X10"/>
  <c r="X11"/>
  <c r="X12"/>
  <c r="X13"/>
  <c r="X14"/>
  <c r="X15"/>
  <c r="X16"/>
  <c r="X17"/>
  <c r="X18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X41"/>
  <c r="X42"/>
  <c r="X43"/>
  <c r="X3"/>
  <c r="X8" i="6"/>
  <c r="X18"/>
  <c r="X20"/>
  <c r="X24"/>
  <c r="X39"/>
  <c r="X42"/>
  <c r="X4" i="7"/>
  <c r="X6"/>
  <c r="X9"/>
  <c r="X10"/>
  <c r="X11"/>
  <c r="X12"/>
  <c r="X13"/>
  <c r="X15"/>
  <c r="X16"/>
  <c r="X17"/>
  <c r="X18"/>
  <c r="X23"/>
  <c r="X24"/>
  <c r="X26"/>
  <c r="X27"/>
  <c r="X28"/>
  <c r="X29"/>
  <c r="X33"/>
  <c r="X34"/>
  <c r="X35"/>
  <c r="X36"/>
  <c r="X37"/>
  <c r="X38"/>
  <c r="X39"/>
  <c r="X40"/>
  <c r="X41"/>
  <c r="X42"/>
  <c r="X43"/>
  <c r="X3"/>
  <c r="E41" i="6"/>
  <c r="E41" i="9" s="1"/>
  <c r="L41" i="6"/>
  <c r="L41" i="9" s="1"/>
  <c r="H41" i="6"/>
  <c r="H41" i="9" s="1"/>
  <c r="L40" i="6"/>
  <c r="L40" i="9" s="1"/>
  <c r="E40" i="6"/>
  <c r="X40" s="1"/>
  <c r="H40"/>
  <c r="H40" i="9" s="1"/>
  <c r="L26" i="6"/>
  <c r="L26" i="9" s="1"/>
  <c r="H26" i="6"/>
  <c r="H26" i="9" s="1"/>
  <c r="E26" i="6"/>
  <c r="E26" i="9" s="1"/>
  <c r="L36" i="6"/>
  <c r="L36" i="9" s="1"/>
  <c r="H36" i="6"/>
  <c r="H36" i="9" s="1"/>
  <c r="E36" i="6"/>
  <c r="X36" s="1"/>
  <c r="L37"/>
  <c r="L37" i="9" s="1"/>
  <c r="H37" i="6"/>
  <c r="H37" i="9" s="1"/>
  <c r="E37" i="6"/>
  <c r="E37" i="9" s="1"/>
  <c r="L35" i="6"/>
  <c r="L35" i="9" s="1"/>
  <c r="H35" i="6"/>
  <c r="H35" i="9" s="1"/>
  <c r="E35" i="6"/>
  <c r="X35" s="1"/>
  <c r="L38"/>
  <c r="L38" i="9" s="1"/>
  <c r="H38" i="6"/>
  <c r="H38" i="9" s="1"/>
  <c r="L14" i="7"/>
  <c r="X14" s="1"/>
  <c r="O29" i="6"/>
  <c r="O29" i="9" s="1"/>
  <c r="L34" i="6"/>
  <c r="L34" i="9" s="1"/>
  <c r="H34" i="6"/>
  <c r="H34" i="9" s="1"/>
  <c r="E34" i="6"/>
  <c r="E34" i="9" s="1"/>
  <c r="L33" i="6"/>
  <c r="L33" i="9" s="1"/>
  <c r="H33" i="6"/>
  <c r="H33" i="9" s="1"/>
  <c r="E33" i="6"/>
  <c r="E33" i="9" s="1"/>
  <c r="Q25" i="7"/>
  <c r="L25"/>
  <c r="X25" s="1"/>
  <c r="L43" i="6"/>
  <c r="L43" i="9" s="1"/>
  <c r="H43" i="6"/>
  <c r="H43" i="9" s="1"/>
  <c r="O43" i="6"/>
  <c r="O43" i="9" s="1"/>
  <c r="E43" i="6"/>
  <c r="X43" s="1"/>
  <c r="I25"/>
  <c r="I25" i="9" s="1"/>
  <c r="Q25" i="6"/>
  <c r="Q25" i="9" s="1"/>
  <c r="K25" i="6"/>
  <c r="K25" i="9" s="1"/>
  <c r="L25" i="6"/>
  <c r="L25" i="9" s="1"/>
  <c r="H25" i="6"/>
  <c r="H25" i="9" s="1"/>
  <c r="E25" i="6"/>
  <c r="E25" i="9" s="1"/>
  <c r="O8" i="7"/>
  <c r="O8" i="9" s="1"/>
  <c r="Q8" i="7"/>
  <c r="Q8" i="9" s="1"/>
  <c r="L3" i="6"/>
  <c r="L3" i="9" s="1"/>
  <c r="H3" i="6"/>
  <c r="H3" i="9" s="1"/>
  <c r="E3" i="6"/>
  <c r="X3" s="1"/>
  <c r="E5" i="7"/>
  <c r="X5" s="1"/>
  <c r="L4" i="6"/>
  <c r="L4" i="9" s="1"/>
  <c r="H4" i="6"/>
  <c r="H4" i="9" s="1"/>
  <c r="E4" i="6"/>
  <c r="X4" s="1"/>
  <c r="L5"/>
  <c r="L5" i="9" s="1"/>
  <c r="H5" i="6"/>
  <c r="H5" i="9" s="1"/>
  <c r="E5" i="6"/>
  <c r="E5" i="9" s="1"/>
  <c r="Q31" i="6"/>
  <c r="Q31" i="9" s="1"/>
  <c r="L31" i="6"/>
  <c r="L31" i="9" s="1"/>
  <c r="H31" i="6"/>
  <c r="X31" s="1"/>
  <c r="H30" i="7"/>
  <c r="X30" s="1"/>
  <c r="E30" i="6"/>
  <c r="E30" i="9" s="1"/>
  <c r="L30" i="6"/>
  <c r="L30" i="9" s="1"/>
  <c r="P30" i="6"/>
  <c r="P30" i="9" s="1"/>
  <c r="H30" i="6"/>
  <c r="H30" i="9" s="1"/>
  <c r="L10" i="6"/>
  <c r="L10" i="9" s="1"/>
  <c r="P10" i="6"/>
  <c r="P10" i="9" s="1"/>
  <c r="H10" i="6"/>
  <c r="H10" i="9" s="1"/>
  <c r="E10" i="6"/>
  <c r="E10" i="9" s="1"/>
  <c r="Q9" i="6"/>
  <c r="Q9" i="9" s="1"/>
  <c r="E9" i="6"/>
  <c r="E9" i="9" s="1"/>
  <c r="H9" i="6"/>
  <c r="H9" i="9" s="1"/>
  <c r="L9" i="6"/>
  <c r="L9" i="9" s="1"/>
  <c r="H6" i="6"/>
  <c r="H6" i="9" s="1"/>
  <c r="L6" i="6"/>
  <c r="L6" i="9" s="1"/>
  <c r="L7" i="7"/>
  <c r="X7" s="1"/>
  <c r="P7" i="6"/>
  <c r="P7" i="9" s="1"/>
  <c r="E7" i="6"/>
  <c r="X7" s="1"/>
  <c r="H7"/>
  <c r="H7" i="9" s="1"/>
  <c r="P12" i="6"/>
  <c r="P12" i="9" s="1"/>
  <c r="Q12" i="6"/>
  <c r="Q12" i="9" s="1"/>
  <c r="H12" i="6"/>
  <c r="H12" i="9" s="1"/>
  <c r="L12" i="6"/>
  <c r="L12" i="9" s="1"/>
  <c r="E27" i="6"/>
  <c r="X27" s="1"/>
  <c r="N27"/>
  <c r="N27" i="9" s="1"/>
  <c r="H27" i="6"/>
  <c r="H27" i="9" s="1"/>
  <c r="L27" i="6"/>
  <c r="L27" i="9" s="1"/>
  <c r="Q28" i="6"/>
  <c r="Q28" i="9" s="1"/>
  <c r="H28" i="6"/>
  <c r="H28" i="9" s="1"/>
  <c r="E28" i="6"/>
  <c r="X28" s="1"/>
  <c r="L28"/>
  <c r="L28" i="9" s="1"/>
  <c r="H17" i="6"/>
  <c r="H17" i="9" s="1"/>
  <c r="E17" i="6"/>
  <c r="E17" i="9" s="1"/>
  <c r="O17" i="6"/>
  <c r="O17" i="9" s="1"/>
  <c r="H16" i="6"/>
  <c r="H16" i="9" s="1"/>
  <c r="E16" i="6"/>
  <c r="X16" s="1"/>
  <c r="L16"/>
  <c r="L16" i="9" s="1"/>
  <c r="H15" i="6"/>
  <c r="X15" s="1"/>
  <c r="L15"/>
  <c r="L15" i="9" s="1"/>
  <c r="L13" i="6"/>
  <c r="L13" i="9" s="1"/>
  <c r="L32" i="7"/>
  <c r="L32" i="9" s="1"/>
  <c r="E32" i="6"/>
  <c r="X32" s="1"/>
  <c r="H32"/>
  <c r="H32" i="9" s="1"/>
  <c r="N32" i="6"/>
  <c r="N32" i="9" s="1"/>
  <c r="E23" i="6"/>
  <c r="X23" s="1"/>
  <c r="Q23"/>
  <c r="Q23" i="9" s="1"/>
  <c r="H23" i="6"/>
  <c r="H23" i="9" s="1"/>
  <c r="N23" i="6"/>
  <c r="N23" i="9" s="1"/>
  <c r="E20" i="7"/>
  <c r="E20" i="9" s="1"/>
  <c r="Q20" i="7"/>
  <c r="Q20" i="9" s="1"/>
  <c r="H19" i="7"/>
  <c r="X19" s="1"/>
  <c r="K19" i="6"/>
  <c r="K19" i="9" s="1"/>
  <c r="L19" i="6"/>
  <c r="L19" i="9" s="1"/>
  <c r="E19" i="6"/>
  <c r="X19" s="1"/>
  <c r="N19"/>
  <c r="N19" i="9" s="1"/>
  <c r="E11" i="6"/>
  <c r="X11" s="1"/>
  <c r="H11"/>
  <c r="H11" i="9" s="1"/>
  <c r="N14" i="7"/>
  <c r="H21"/>
  <c r="X21" s="1"/>
  <c r="N14" i="6"/>
  <c r="N14" i="9" s="1"/>
  <c r="L14" i="6"/>
  <c r="L14" i="9" s="1"/>
  <c r="H14" i="6"/>
  <c r="H14" i="9" s="1"/>
  <c r="Q21" i="6"/>
  <c r="Q21" i="9" s="1"/>
  <c r="N21" i="6"/>
  <c r="N21" i="9" s="1"/>
  <c r="E21" i="6"/>
  <c r="E21" i="9" s="1"/>
  <c r="F21" i="6"/>
  <c r="F21" i="9" s="1"/>
  <c r="H21" i="6"/>
  <c r="H21" i="9" s="1"/>
  <c r="Q22" i="7"/>
  <c r="L22"/>
  <c r="L22" i="9" s="1"/>
  <c r="N22" i="7"/>
  <c r="E22"/>
  <c r="X22" s="1"/>
  <c r="H22"/>
  <c r="Q22" i="6"/>
  <c r="Q22" i="9" s="1"/>
  <c r="N22" i="6"/>
  <c r="N22" i="9" s="1"/>
  <c r="E22" i="6"/>
  <c r="E22" i="9" s="1"/>
  <c r="H22" i="6"/>
  <c r="H22" i="9" s="1"/>
  <c r="L29" i="6"/>
  <c r="L29" i="9" s="1"/>
  <c r="F29" i="6"/>
  <c r="F29" i="9" s="1"/>
  <c r="E29" i="6"/>
  <c r="E29" i="9" s="1"/>
  <c r="H29" i="6"/>
  <c r="H29" i="9" s="1"/>
  <c r="X38" i="6" l="1"/>
  <c r="X34"/>
  <c r="X30"/>
  <c r="X26"/>
  <c r="X22"/>
  <c r="X14"/>
  <c r="X10"/>
  <c r="X6"/>
  <c r="E3" i="9"/>
  <c r="E43"/>
  <c r="X43" s="1"/>
  <c r="U43" i="10" s="1"/>
  <c r="E35" i="9"/>
  <c r="E27"/>
  <c r="X27" s="1"/>
  <c r="E23"/>
  <c r="E19"/>
  <c r="E11"/>
  <c r="E7"/>
  <c r="X20" i="7"/>
  <c r="X8"/>
  <c r="X41" i="6"/>
  <c r="X37"/>
  <c r="X33"/>
  <c r="X29"/>
  <c r="X25"/>
  <c r="X21"/>
  <c r="X17"/>
  <c r="X13"/>
  <c r="X9"/>
  <c r="X5"/>
  <c r="E4" i="9"/>
  <c r="E40"/>
  <c r="X40" s="1"/>
  <c r="E36"/>
  <c r="E32"/>
  <c r="X32" s="1"/>
  <c r="J32" i="10" s="1"/>
  <c r="H31" i="9"/>
  <c r="E28"/>
  <c r="H19"/>
  <c r="E16"/>
  <c r="X16" s="1"/>
  <c r="H15"/>
  <c r="L7"/>
  <c r="X7" s="1"/>
  <c r="X32" i="7"/>
  <c r="X12" i="6"/>
  <c r="X30" i="9"/>
  <c r="H30" i="10" s="1"/>
  <c r="X23" i="9"/>
  <c r="E23" i="10" s="1"/>
  <c r="X14" i="9"/>
  <c r="P14" i="10" s="1"/>
  <c r="X6" i="9"/>
  <c r="H6" i="10" s="1"/>
  <c r="X38" i="9"/>
  <c r="P38" i="10" s="1"/>
  <c r="X22" i="9"/>
  <c r="H22" i="10" s="1"/>
  <c r="X31" i="9"/>
  <c r="E31" i="10" s="1"/>
  <c r="I38"/>
  <c r="Q30"/>
  <c r="X39" i="9"/>
  <c r="E39" i="10" s="1"/>
  <c r="V30"/>
  <c r="V14"/>
  <c r="N14"/>
  <c r="F14"/>
  <c r="T14"/>
  <c r="H14"/>
  <c r="X11" i="9"/>
  <c r="M11" i="10" s="1"/>
  <c r="I30"/>
  <c r="O31"/>
  <c r="R14"/>
  <c r="J14"/>
  <c r="R6"/>
  <c r="X36" i="9"/>
  <c r="F36" i="10" s="1"/>
  <c r="X28" i="9"/>
  <c r="F28" i="10" s="1"/>
  <c r="X24" i="9"/>
  <c r="R24" i="10" s="1"/>
  <c r="L23"/>
  <c r="X20" i="9"/>
  <c r="T20" i="10" s="1"/>
  <c r="X12" i="9"/>
  <c r="U12" i="10" s="1"/>
  <c r="X8" i="9"/>
  <c r="T8" i="10" s="1"/>
  <c r="X15" i="9"/>
  <c r="M15" i="10" s="1"/>
  <c r="I11"/>
  <c r="E11"/>
  <c r="K11"/>
  <c r="E30"/>
  <c r="L14"/>
  <c r="G38"/>
  <c r="O30"/>
  <c r="I28"/>
  <c r="W14"/>
  <c r="O14"/>
  <c r="G14"/>
  <c r="T11"/>
  <c r="L11"/>
  <c r="R23"/>
  <c r="M22"/>
  <c r="U14"/>
  <c r="Q14"/>
  <c r="M14"/>
  <c r="I14"/>
  <c r="E14"/>
  <c r="O12"/>
  <c r="V11"/>
  <c r="R11"/>
  <c r="N11"/>
  <c r="J11"/>
  <c r="F11"/>
  <c r="S8"/>
  <c r="G8"/>
  <c r="I6"/>
  <c r="X35" i="9"/>
  <c r="U35" i="10" s="1"/>
  <c r="X19" i="9"/>
  <c r="L19" i="10" s="1"/>
  <c r="W11"/>
  <c r="O11"/>
  <c r="G11"/>
  <c r="U38"/>
  <c r="E38"/>
  <c r="K38"/>
  <c r="T35"/>
  <c r="S30"/>
  <c r="I24"/>
  <c r="G22"/>
  <c r="S14"/>
  <c r="K14"/>
  <c r="P11"/>
  <c r="H11"/>
  <c r="I8"/>
  <c r="U39"/>
  <c r="P30"/>
  <c r="V12"/>
  <c r="X3" i="9"/>
  <c r="X4"/>
  <c r="W4" i="10" s="1"/>
  <c r="X42" i="9"/>
  <c r="M42" i="10" s="1"/>
  <c r="X34" i="9"/>
  <c r="R34" i="10" s="1"/>
  <c r="X26" i="9"/>
  <c r="X18"/>
  <c r="L18" i="10" s="1"/>
  <c r="X10" i="9"/>
  <c r="P10" i="10" s="1"/>
  <c r="X41" i="9"/>
  <c r="X37"/>
  <c r="O37" i="10" s="1"/>
  <c r="X33" i="9"/>
  <c r="K33" i="10" s="1"/>
  <c r="X29" i="9"/>
  <c r="I29" i="10" s="1"/>
  <c r="X25" i="9"/>
  <c r="X21"/>
  <c r="R21" i="10" s="1"/>
  <c r="X17" i="9"/>
  <c r="Q17" i="10" s="1"/>
  <c r="X13" i="9"/>
  <c r="R13" i="10" s="1"/>
  <c r="X9" i="9"/>
  <c r="X5"/>
  <c r="L5" i="10" s="1"/>
  <c r="E24"/>
  <c r="E12"/>
  <c r="E8"/>
  <c r="F23" l="1"/>
  <c r="K8"/>
  <c r="W8"/>
  <c r="K12"/>
  <c r="S12"/>
  <c r="O20"/>
  <c r="S24"/>
  <c r="S11"/>
  <c r="U11"/>
  <c r="M8"/>
  <c r="M12"/>
  <c r="L39"/>
  <c r="R22"/>
  <c r="P22"/>
  <c r="N22"/>
  <c r="G39"/>
  <c r="Q16"/>
  <c r="W16"/>
  <c r="G16"/>
  <c r="R40"/>
  <c r="I40"/>
  <c r="E40"/>
  <c r="E36"/>
  <c r="U23"/>
  <c r="V36"/>
  <c r="O22"/>
  <c r="I36"/>
  <c r="I22"/>
  <c r="Q22"/>
  <c r="N23"/>
  <c r="O24"/>
  <c r="N36"/>
  <c r="S22"/>
  <c r="T22"/>
  <c r="H23"/>
  <c r="T23"/>
  <c r="M24"/>
  <c r="H39"/>
  <c r="J22"/>
  <c r="G23"/>
  <c r="K39"/>
  <c r="O39"/>
  <c r="Q11"/>
  <c r="Q12"/>
  <c r="M32"/>
  <c r="M36"/>
  <c r="M40"/>
  <c r="E7"/>
  <c r="V7"/>
  <c r="F7"/>
  <c r="K7"/>
  <c r="T7"/>
  <c r="O34"/>
  <c r="J34"/>
  <c r="M16"/>
  <c r="M28"/>
  <c r="V40"/>
  <c r="U34"/>
  <c r="L22"/>
  <c r="F22"/>
  <c r="E35"/>
  <c r="F8"/>
  <c r="N24"/>
  <c r="M43"/>
  <c r="Q8"/>
  <c r="J8"/>
  <c r="N32"/>
  <c r="S23"/>
  <c r="J39"/>
  <c r="J31"/>
  <c r="F13"/>
  <c r="J15"/>
  <c r="K20"/>
  <c r="E29"/>
  <c r="R42"/>
  <c r="G31"/>
  <c r="Q31"/>
  <c r="T28"/>
  <c r="I20"/>
  <c r="T43"/>
  <c r="S6"/>
  <c r="H35"/>
  <c r="O35"/>
  <c r="W29"/>
  <c r="L31"/>
  <c r="H12"/>
  <c r="P28"/>
  <c r="V38"/>
  <c r="P6"/>
  <c r="R20"/>
  <c r="L30"/>
  <c r="T38"/>
  <c r="P8"/>
  <c r="L16"/>
  <c r="J38"/>
  <c r="E20"/>
  <c r="M31"/>
  <c r="W22"/>
  <c r="L35"/>
  <c r="L43"/>
  <c r="O8"/>
  <c r="G12"/>
  <c r="W12"/>
  <c r="S16"/>
  <c r="E22"/>
  <c r="U22"/>
  <c r="V23"/>
  <c r="H38"/>
  <c r="I12"/>
  <c r="K22"/>
  <c r="W30"/>
  <c r="S42"/>
  <c r="N34"/>
  <c r="U42"/>
  <c r="U8"/>
  <c r="M20"/>
  <c r="H31"/>
  <c r="T39"/>
  <c r="L8"/>
  <c r="P20"/>
  <c r="O23"/>
  <c r="T36"/>
  <c r="Q38"/>
  <c r="I23"/>
  <c r="L38"/>
  <c r="H8"/>
  <c r="V22"/>
  <c r="K31"/>
  <c r="L40"/>
  <c r="Q23"/>
  <c r="W6"/>
  <c r="E6"/>
  <c r="U6"/>
  <c r="R7"/>
  <c r="F15"/>
  <c r="V15"/>
  <c r="K6"/>
  <c r="N10"/>
  <c r="I17"/>
  <c r="N42"/>
  <c r="O29"/>
  <c r="H42"/>
  <c r="P7"/>
  <c r="J6"/>
  <c r="W7"/>
  <c r="P16"/>
  <c r="H28"/>
  <c r="L36"/>
  <c r="G28"/>
  <c r="S32"/>
  <c r="L6"/>
  <c r="N16"/>
  <c r="J28"/>
  <c r="N40"/>
  <c r="V6"/>
  <c r="W15"/>
  <c r="L28"/>
  <c r="H36"/>
  <c r="W28"/>
  <c r="O36"/>
  <c r="K36"/>
  <c r="E16"/>
  <c r="E32"/>
  <c r="U7"/>
  <c r="V28"/>
  <c r="R32"/>
  <c r="O6"/>
  <c r="K30"/>
  <c r="G42"/>
  <c r="M30"/>
  <c r="E17"/>
  <c r="Q6"/>
  <c r="N7"/>
  <c r="I10"/>
  <c r="R15"/>
  <c r="O16"/>
  <c r="G20"/>
  <c r="W20"/>
  <c r="K24"/>
  <c r="G4"/>
  <c r="J40"/>
  <c r="G30"/>
  <c r="S34"/>
  <c r="W38"/>
  <c r="M38"/>
  <c r="U13"/>
  <c r="E33"/>
  <c r="M34"/>
  <c r="W13"/>
  <c r="L7"/>
  <c r="P15"/>
  <c r="U16"/>
  <c r="U20"/>
  <c r="U24"/>
  <c r="U28"/>
  <c r="T31"/>
  <c r="U32"/>
  <c r="U36"/>
  <c r="U40"/>
  <c r="O7"/>
  <c r="H16"/>
  <c r="L24"/>
  <c r="R30"/>
  <c r="T32"/>
  <c r="N38"/>
  <c r="P40"/>
  <c r="V31"/>
  <c r="K40"/>
  <c r="M7"/>
  <c r="U15"/>
  <c r="V24"/>
  <c r="I31"/>
  <c r="J36"/>
  <c r="F40"/>
  <c r="N6"/>
  <c r="N30"/>
  <c r="P32"/>
  <c r="G36"/>
  <c r="Q7"/>
  <c r="K28"/>
  <c r="W40"/>
  <c r="R31"/>
  <c r="E28"/>
  <c r="N28"/>
  <c r="U31"/>
  <c r="G6"/>
  <c r="S10"/>
  <c r="N13"/>
  <c r="V29"/>
  <c r="S38"/>
  <c r="T6"/>
  <c r="F10"/>
  <c r="Q13"/>
  <c r="M6"/>
  <c r="J7"/>
  <c r="L13"/>
  <c r="N15"/>
  <c r="K16"/>
  <c r="E18"/>
  <c r="S20"/>
  <c r="J23"/>
  <c r="G24"/>
  <c r="W24"/>
  <c r="M39"/>
  <c r="G10"/>
  <c r="J13"/>
  <c r="I16"/>
  <c r="J29"/>
  <c r="I32"/>
  <c r="O38"/>
  <c r="M4"/>
  <c r="U30"/>
  <c r="U29"/>
  <c r="K35"/>
  <c r="T29"/>
  <c r="K13"/>
  <c r="P34"/>
  <c r="H7"/>
  <c r="L15"/>
  <c r="Q20"/>
  <c r="P23"/>
  <c r="Q24"/>
  <c r="Q28"/>
  <c r="P31"/>
  <c r="Q32"/>
  <c r="Q36"/>
  <c r="P39"/>
  <c r="Q40"/>
  <c r="G7"/>
  <c r="S15"/>
  <c r="W23"/>
  <c r="J30"/>
  <c r="W31"/>
  <c r="F38"/>
  <c r="H40"/>
  <c r="F31"/>
  <c r="N39"/>
  <c r="I7"/>
  <c r="V20"/>
  <c r="M23"/>
  <c r="T30"/>
  <c r="V32"/>
  <c r="I39"/>
  <c r="F6"/>
  <c r="S7"/>
  <c r="K23"/>
  <c r="F30"/>
  <c r="S31"/>
  <c r="R38"/>
  <c r="T40"/>
  <c r="N31"/>
  <c r="V39"/>
  <c r="S36"/>
  <c r="O40"/>
  <c r="R8"/>
  <c r="N8"/>
  <c r="F12"/>
  <c r="R12"/>
  <c r="J16"/>
  <c r="V16"/>
  <c r="N20"/>
  <c r="J20"/>
  <c r="N21"/>
  <c r="S5"/>
  <c r="S18"/>
  <c r="V13"/>
  <c r="R17"/>
  <c r="F29"/>
  <c r="G34"/>
  <c r="O42"/>
  <c r="M5"/>
  <c r="G19"/>
  <c r="T13"/>
  <c r="H17"/>
  <c r="R19"/>
  <c r="F17"/>
  <c r="V33"/>
  <c r="K42"/>
  <c r="J10"/>
  <c r="E13"/>
  <c r="K19"/>
  <c r="Q29"/>
  <c r="U33"/>
  <c r="G35"/>
  <c r="I37"/>
  <c r="O43"/>
  <c r="P33"/>
  <c r="G13"/>
  <c r="O21"/>
  <c r="H34"/>
  <c r="H15"/>
  <c r="P12"/>
  <c r="K15"/>
  <c r="H20"/>
  <c r="T24"/>
  <c r="L32"/>
  <c r="S39"/>
  <c r="W36"/>
  <c r="S40"/>
  <c r="N12"/>
  <c r="Q15"/>
  <c r="F20"/>
  <c r="J24"/>
  <c r="F32"/>
  <c r="R36"/>
  <c r="Q39"/>
  <c r="T12"/>
  <c r="O15"/>
  <c r="L20"/>
  <c r="P24"/>
  <c r="H32"/>
  <c r="W39"/>
  <c r="O28"/>
  <c r="K32"/>
  <c r="F39"/>
  <c r="F16"/>
  <c r="G32"/>
  <c r="W32"/>
  <c r="G40"/>
  <c r="F5"/>
  <c r="L21"/>
  <c r="Q21"/>
  <c r="T17"/>
  <c r="U21"/>
  <c r="L4"/>
  <c r="J17"/>
  <c r="I4"/>
  <c r="M17"/>
  <c r="M10"/>
  <c r="P13"/>
  <c r="U18"/>
  <c r="N33"/>
  <c r="P35"/>
  <c r="Q33"/>
  <c r="W35"/>
  <c r="K43"/>
  <c r="H33"/>
  <c r="J35"/>
  <c r="T15"/>
  <c r="G15"/>
  <c r="V8"/>
  <c r="J12"/>
  <c r="E15"/>
  <c r="R16"/>
  <c r="F24"/>
  <c r="R28"/>
  <c r="L12"/>
  <c r="T16"/>
  <c r="H24"/>
  <c r="P36"/>
  <c r="I15"/>
  <c r="S28"/>
  <c r="O32"/>
  <c r="R39"/>
  <c r="X14"/>
  <c r="O9"/>
  <c r="K9"/>
  <c r="O25"/>
  <c r="W25"/>
  <c r="K25"/>
  <c r="T25"/>
  <c r="O41"/>
  <c r="T41"/>
  <c r="G41"/>
  <c r="W41"/>
  <c r="L41"/>
  <c r="L26"/>
  <c r="T26"/>
  <c r="I26"/>
  <c r="Q26"/>
  <c r="P3"/>
  <c r="G3"/>
  <c r="W3"/>
  <c r="L3"/>
  <c r="O3"/>
  <c r="T3"/>
  <c r="I27"/>
  <c r="Q27"/>
  <c r="F27"/>
  <c r="V27"/>
  <c r="N27"/>
  <c r="K5"/>
  <c r="G5"/>
  <c r="W5"/>
  <c r="K21"/>
  <c r="W21"/>
  <c r="G21"/>
  <c r="S37"/>
  <c r="H37"/>
  <c r="K37"/>
  <c r="P37"/>
  <c r="T18"/>
  <c r="P18"/>
  <c r="N4"/>
  <c r="J4"/>
  <c r="Q19"/>
  <c r="M19"/>
  <c r="G17"/>
  <c r="W17"/>
  <c r="S17"/>
  <c r="G33"/>
  <c r="O33"/>
  <c r="T33"/>
  <c r="W33"/>
  <c r="L33"/>
  <c r="L10"/>
  <c r="H10"/>
  <c r="L42"/>
  <c r="Q42"/>
  <c r="T42"/>
  <c r="I42"/>
  <c r="I43"/>
  <c r="N43"/>
  <c r="Q43"/>
  <c r="F43"/>
  <c r="V43"/>
  <c r="S13"/>
  <c r="O13"/>
  <c r="K29"/>
  <c r="S29"/>
  <c r="P29"/>
  <c r="H29"/>
  <c r="L34"/>
  <c r="T34"/>
  <c r="Q34"/>
  <c r="I34"/>
  <c r="I35"/>
  <c r="N35"/>
  <c r="Q35"/>
  <c r="F35"/>
  <c r="V35"/>
  <c r="N9"/>
  <c r="K26"/>
  <c r="J26"/>
  <c r="P9"/>
  <c r="J25"/>
  <c r="W26"/>
  <c r="F41"/>
  <c r="E9"/>
  <c r="N26"/>
  <c r="O27"/>
  <c r="E41"/>
  <c r="U41"/>
  <c r="M3"/>
  <c r="E26"/>
  <c r="R27"/>
  <c r="H41"/>
  <c r="H26"/>
  <c r="U27"/>
  <c r="K3"/>
  <c r="F9"/>
  <c r="W18"/>
  <c r="J21"/>
  <c r="V25"/>
  <c r="P27"/>
  <c r="V3"/>
  <c r="Q9"/>
  <c r="R18"/>
  <c r="I21"/>
  <c r="U25"/>
  <c r="H5"/>
  <c r="L9"/>
  <c r="Q18"/>
  <c r="N19"/>
  <c r="H21"/>
  <c r="L25"/>
  <c r="S4"/>
  <c r="R5"/>
  <c r="R9"/>
  <c r="K18"/>
  <c r="F21"/>
  <c r="O26"/>
  <c r="R37"/>
  <c r="E4"/>
  <c r="R3"/>
  <c r="Q5"/>
  <c r="V18"/>
  <c r="M21"/>
  <c r="F26"/>
  <c r="H3"/>
  <c r="E37"/>
  <c r="U37"/>
  <c r="Q41"/>
  <c r="H4"/>
  <c r="I3"/>
  <c r="P25"/>
  <c r="J27"/>
  <c r="T37"/>
  <c r="O5"/>
  <c r="W9"/>
  <c r="H18"/>
  <c r="U19"/>
  <c r="S25"/>
  <c r="M27"/>
  <c r="G37"/>
  <c r="S41"/>
  <c r="V4"/>
  <c r="V5"/>
  <c r="K10"/>
  <c r="O18"/>
  <c r="N25"/>
  <c r="H27"/>
  <c r="R33"/>
  <c r="V37"/>
  <c r="R41"/>
  <c r="J3"/>
  <c r="I9"/>
  <c r="J18"/>
  <c r="W19"/>
  <c r="M25"/>
  <c r="G27"/>
  <c r="T5"/>
  <c r="H9"/>
  <c r="E10"/>
  <c r="U10"/>
  <c r="P17"/>
  <c r="M18"/>
  <c r="J19"/>
  <c r="T21"/>
  <c r="H25"/>
  <c r="O4"/>
  <c r="J5"/>
  <c r="J9"/>
  <c r="W10"/>
  <c r="V17"/>
  <c r="P19"/>
  <c r="G26"/>
  <c r="T27"/>
  <c r="F33"/>
  <c r="N37"/>
  <c r="V41"/>
  <c r="P43"/>
  <c r="N3"/>
  <c r="I5"/>
  <c r="U9"/>
  <c r="N18"/>
  <c r="E21"/>
  <c r="Q25"/>
  <c r="K27"/>
  <c r="W27"/>
  <c r="M33"/>
  <c r="Q37"/>
  <c r="M41"/>
  <c r="J42"/>
  <c r="G43"/>
  <c r="W43"/>
  <c r="T4"/>
  <c r="U3"/>
  <c r="U26"/>
  <c r="L37"/>
  <c r="E42"/>
  <c r="R43"/>
  <c r="S9"/>
  <c r="O17"/>
  <c r="I19"/>
  <c r="G25"/>
  <c r="E27"/>
  <c r="K41"/>
  <c r="E43"/>
  <c r="R4"/>
  <c r="E3"/>
  <c r="N5"/>
  <c r="V9"/>
  <c r="G18"/>
  <c r="T19"/>
  <c r="F25"/>
  <c r="S26"/>
  <c r="N29"/>
  <c r="J33"/>
  <c r="W34"/>
  <c r="J37"/>
  <c r="J41"/>
  <c r="W42"/>
  <c r="Q4"/>
  <c r="U5"/>
  <c r="R10"/>
  <c r="I13"/>
  <c r="U17"/>
  <c r="O19"/>
  <c r="E25"/>
  <c r="R26"/>
  <c r="P5"/>
  <c r="T9"/>
  <c r="Q10"/>
  <c r="H13"/>
  <c r="L17"/>
  <c r="I18"/>
  <c r="F19"/>
  <c r="V19"/>
  <c r="P21"/>
  <c r="K4"/>
  <c r="F3"/>
  <c r="O10"/>
  <c r="N17"/>
  <c r="H19"/>
  <c r="V21"/>
  <c r="R25"/>
  <c r="L27"/>
  <c r="R29"/>
  <c r="K34"/>
  <c r="F37"/>
  <c r="N41"/>
  <c r="H43"/>
  <c r="U4"/>
  <c r="E5"/>
  <c r="M9"/>
  <c r="V10"/>
  <c r="M13"/>
  <c r="F18"/>
  <c r="S19"/>
  <c r="I25"/>
  <c r="V26"/>
  <c r="S27"/>
  <c r="M29"/>
  <c r="I33"/>
  <c r="F34"/>
  <c r="V34"/>
  <c r="S35"/>
  <c r="M37"/>
  <c r="I41"/>
  <c r="F42"/>
  <c r="V42"/>
  <c r="S43"/>
  <c r="P4"/>
  <c r="Q3"/>
  <c r="M26"/>
  <c r="L29"/>
  <c r="E34"/>
  <c r="R35"/>
  <c r="P41"/>
  <c r="J43"/>
  <c r="G9"/>
  <c r="T10"/>
  <c r="K17"/>
  <c r="E19"/>
  <c r="S21"/>
  <c r="P26"/>
  <c r="G29"/>
  <c r="S33"/>
  <c r="M35"/>
  <c r="W37"/>
  <c r="P42"/>
  <c r="F4"/>
  <c r="S3"/>
  <c r="X11" l="1"/>
  <c r="X30"/>
  <c r="X39"/>
  <c r="X23"/>
  <c r="X22"/>
  <c r="X38"/>
  <c r="X7"/>
  <c r="X6"/>
  <c r="X36"/>
  <c r="X16"/>
  <c r="X24"/>
  <c r="X20"/>
  <c r="X28"/>
  <c r="X12"/>
  <c r="X40"/>
  <c r="X32"/>
  <c r="X8"/>
  <c r="X15"/>
  <c r="X31"/>
  <c r="X29"/>
  <c r="X10"/>
  <c r="X17"/>
  <c r="X33"/>
  <c r="X3"/>
  <c r="X4"/>
  <c r="X41"/>
  <c r="X35"/>
  <c r="X19"/>
  <c r="X43"/>
  <c r="X42"/>
  <c r="X9"/>
  <c r="X34"/>
  <c r="X25"/>
  <c r="X18"/>
  <c r="X5"/>
  <c r="X13"/>
  <c r="X27"/>
  <c r="X21"/>
  <c r="X37"/>
  <c r="X26"/>
</calcChain>
</file>

<file path=xl/comments1.xml><?xml version="1.0" encoding="utf-8"?>
<comments xmlns="http://schemas.openxmlformats.org/spreadsheetml/2006/main">
  <authors>
    <author>MTrommelen</author>
  </authors>
  <commentList>
    <comment ref="O3" authorId="0">
      <text>
        <r>
          <rPr>
            <b/>
            <sz val="9"/>
            <color indexed="81"/>
            <rFont val="Tahoma"/>
            <family val="2"/>
          </rPr>
          <t>MTrommelen:</t>
        </r>
        <r>
          <rPr>
            <sz val="9"/>
            <color indexed="81"/>
            <rFont val="Tahoma"/>
            <family val="2"/>
          </rPr>
          <t xml:space="preserve">
faceted</t>
        </r>
      </text>
    </comment>
    <comment ref="K6" authorId="0">
      <text>
        <r>
          <rPr>
            <b/>
            <sz val="9"/>
            <color indexed="81"/>
            <rFont val="Tahoma"/>
            <family val="2"/>
          </rPr>
          <t>MTrommelen:</t>
        </r>
        <r>
          <rPr>
            <sz val="9"/>
            <color indexed="81"/>
            <rFont val="Tahoma"/>
            <family val="2"/>
          </rPr>
          <t xml:space="preserve">
recessive</t>
        </r>
      </text>
    </comment>
    <comment ref="O7" authorId="0">
      <text>
        <r>
          <rPr>
            <b/>
            <sz val="9"/>
            <color indexed="81"/>
            <rFont val="Tahoma"/>
            <family val="2"/>
          </rPr>
          <t>MTrommelen:</t>
        </r>
        <r>
          <rPr>
            <sz val="9"/>
            <color indexed="81"/>
            <rFont val="Tahoma"/>
            <family val="2"/>
          </rPr>
          <t xml:space="preserve">
rounded</t>
        </r>
      </text>
    </comment>
    <comment ref="K19" authorId="0">
      <text>
        <r>
          <rPr>
            <b/>
            <sz val="9"/>
            <color indexed="81"/>
            <rFont val="Tahoma"/>
            <family val="2"/>
          </rPr>
          <t>MTrommelen:</t>
        </r>
        <r>
          <rPr>
            <sz val="9"/>
            <color indexed="81"/>
            <rFont val="Tahoma"/>
            <family val="2"/>
          </rPr>
          <t xml:space="preserve">
includes calcite</t>
        </r>
      </text>
    </comment>
    <comment ref="K25" authorId="0">
      <text>
        <r>
          <rPr>
            <b/>
            <sz val="9"/>
            <color indexed="81"/>
            <rFont val="Tahoma"/>
            <family val="2"/>
          </rPr>
          <t>MTrommelen:</t>
        </r>
        <r>
          <rPr>
            <sz val="9"/>
            <color indexed="81"/>
            <rFont val="Tahoma"/>
            <family val="2"/>
          </rPr>
          <t xml:space="preserve">
some with graphite</t>
        </r>
      </text>
    </comment>
    <comment ref="K31" authorId="0">
      <text>
        <r>
          <rPr>
            <b/>
            <sz val="9"/>
            <color indexed="81"/>
            <rFont val="Tahoma"/>
            <family val="2"/>
          </rPr>
          <t>MTrommelen:</t>
        </r>
        <r>
          <rPr>
            <sz val="9"/>
            <color indexed="81"/>
            <rFont val="Tahoma"/>
            <family val="2"/>
          </rPr>
          <t xml:space="preserve">
recessive</t>
        </r>
      </text>
    </comment>
  </commentList>
</comments>
</file>

<file path=xl/comments2.xml><?xml version="1.0" encoding="utf-8"?>
<comments xmlns="http://schemas.openxmlformats.org/spreadsheetml/2006/main">
  <authors>
    <author>MTrommelen</author>
  </authors>
  <commentList>
    <comment ref="N3" authorId="0">
      <text>
        <r>
          <rPr>
            <b/>
            <sz val="9"/>
            <color indexed="81"/>
            <rFont val="Tahoma"/>
            <family val="2"/>
          </rPr>
          <t>MTrommelen:</t>
        </r>
        <r>
          <rPr>
            <sz val="9"/>
            <color indexed="81"/>
            <rFont val="Tahoma"/>
            <family val="2"/>
          </rPr>
          <t xml:space="preserve">
rounded</t>
        </r>
      </text>
    </comment>
    <comment ref="K6" authorId="0">
      <text>
        <r>
          <rPr>
            <b/>
            <sz val="9"/>
            <color indexed="81"/>
            <rFont val="Tahoma"/>
            <family val="2"/>
          </rPr>
          <t>MTrommelen:</t>
        </r>
        <r>
          <rPr>
            <sz val="9"/>
            <color indexed="81"/>
            <rFont val="Tahoma"/>
            <family val="2"/>
          </rPr>
          <t xml:space="preserve">
most recessive</t>
        </r>
      </text>
    </comment>
    <comment ref="O6" authorId="0">
      <text>
        <r>
          <rPr>
            <b/>
            <sz val="9"/>
            <color indexed="81"/>
            <rFont val="Tahoma"/>
            <family val="2"/>
          </rPr>
          <t>MTrommelen:</t>
        </r>
        <r>
          <rPr>
            <sz val="9"/>
            <color indexed="81"/>
            <rFont val="Tahoma"/>
            <family val="2"/>
          </rPr>
          <t xml:space="preserve">
rounded</t>
        </r>
      </text>
    </comment>
    <comment ref="W17" authorId="0">
      <text>
        <r>
          <rPr>
            <b/>
            <sz val="9"/>
            <color indexed="81"/>
            <rFont val="Tahoma"/>
            <family val="2"/>
          </rPr>
          <t>MTrommelen:</t>
        </r>
        <r>
          <rPr>
            <sz val="9"/>
            <color indexed="81"/>
            <rFont val="Tahoma"/>
            <family val="2"/>
          </rPr>
          <t xml:space="preserve">
red metarenite with quartz clasts</t>
        </r>
      </text>
    </comment>
    <comment ref="I24" authorId="0">
      <text>
        <r>
          <rPr>
            <b/>
            <sz val="9"/>
            <color indexed="81"/>
            <rFont val="Tahoma"/>
            <family val="2"/>
          </rPr>
          <t>MTrommelen:</t>
        </r>
        <r>
          <rPr>
            <sz val="9"/>
            <color indexed="81"/>
            <rFont val="Tahoma"/>
            <family val="2"/>
          </rPr>
          <t xml:space="preserve">
with uraninite?  See photo</t>
        </r>
      </text>
    </comment>
    <comment ref="W25" authorId="0">
      <text>
        <r>
          <rPr>
            <b/>
            <sz val="9"/>
            <color indexed="81"/>
            <rFont val="Tahoma"/>
            <family val="2"/>
          </rPr>
          <t>MTrommelen:</t>
        </r>
        <r>
          <rPr>
            <sz val="9"/>
            <color indexed="81"/>
            <rFont val="Tahoma"/>
            <family val="2"/>
          </rPr>
          <t xml:space="preserve">
red volcanic</t>
        </r>
      </text>
    </comment>
    <comment ref="K31" authorId="0">
      <text>
        <r>
          <rPr>
            <b/>
            <sz val="9"/>
            <color indexed="81"/>
            <rFont val="Tahoma"/>
            <family val="2"/>
          </rPr>
          <t>MTrommelen:</t>
        </r>
        <r>
          <rPr>
            <sz val="9"/>
            <color indexed="81"/>
            <rFont val="Tahoma"/>
            <family val="2"/>
          </rPr>
          <t xml:space="preserve">
resessive mostly</t>
        </r>
      </text>
    </comment>
    <comment ref="W37" authorId="0">
      <text>
        <r>
          <rPr>
            <b/>
            <sz val="9"/>
            <color indexed="81"/>
            <rFont val="Tahoma"/>
            <family val="2"/>
          </rPr>
          <t>MTrommelen:</t>
        </r>
        <r>
          <rPr>
            <sz val="9"/>
            <color indexed="81"/>
            <rFont val="Tahoma"/>
            <family val="2"/>
          </rPr>
          <t xml:space="preserve">
red volcanic</t>
        </r>
      </text>
    </comment>
    <comment ref="K38" authorId="0">
      <text>
        <r>
          <rPr>
            <b/>
            <sz val="9"/>
            <color indexed="81"/>
            <rFont val="Tahoma"/>
            <family val="2"/>
          </rPr>
          <t>MTrommelen:</t>
        </r>
        <r>
          <rPr>
            <sz val="9"/>
            <color indexed="81"/>
            <rFont val="Tahoma"/>
            <family val="2"/>
          </rPr>
          <t xml:space="preserve">
one with graphite</t>
        </r>
      </text>
    </comment>
    <comment ref="O43" authorId="0">
      <text>
        <r>
          <rPr>
            <b/>
            <sz val="9"/>
            <color indexed="81"/>
            <rFont val="Tahoma"/>
            <family val="2"/>
          </rPr>
          <t>MTrommelen:</t>
        </r>
        <r>
          <rPr>
            <sz val="9"/>
            <color indexed="81"/>
            <rFont val="Tahoma"/>
            <family val="2"/>
          </rPr>
          <t xml:space="preserve">
rounded, some with sillminite knots and garnet</t>
        </r>
      </text>
    </comment>
    <comment ref="W43" authorId="0">
      <text>
        <r>
          <rPr>
            <b/>
            <sz val="9"/>
            <color indexed="81"/>
            <rFont val="Tahoma"/>
            <family val="2"/>
          </rPr>
          <t>MTrommelen:</t>
        </r>
        <r>
          <rPr>
            <sz val="9"/>
            <color indexed="81"/>
            <rFont val="Tahoma"/>
            <family val="2"/>
          </rPr>
          <t xml:space="preserve">
puple volc</t>
        </r>
      </text>
    </comment>
  </commentList>
</comments>
</file>

<file path=xl/comments3.xml><?xml version="1.0" encoding="utf-8"?>
<comments xmlns="http://schemas.openxmlformats.org/spreadsheetml/2006/main">
  <authors>
    <author>MTrommelen</author>
  </authors>
  <commentList>
    <comment ref="O3" authorId="0">
      <text>
        <r>
          <rPr>
            <b/>
            <sz val="9"/>
            <color indexed="81"/>
            <rFont val="Tahoma"/>
            <family val="2"/>
          </rPr>
          <t>MTrommelen:</t>
        </r>
        <r>
          <rPr>
            <sz val="9"/>
            <color indexed="81"/>
            <rFont val="Tahoma"/>
            <family val="2"/>
          </rPr>
          <t xml:space="preserve">
rounded, faceted</t>
        </r>
      </text>
    </comment>
    <comment ref="W4" authorId="0">
      <text>
        <r>
          <rPr>
            <b/>
            <sz val="9"/>
            <color indexed="81"/>
            <rFont val="Tahoma"/>
            <family val="2"/>
          </rPr>
          <t>MTrommelen:</t>
        </r>
        <r>
          <rPr>
            <sz val="9"/>
            <color indexed="81"/>
            <rFont val="Tahoma"/>
            <family val="2"/>
          </rPr>
          <t xml:space="preserve">
red volc</t>
        </r>
      </text>
    </comment>
    <comment ref="O7" authorId="0">
      <text>
        <r>
          <rPr>
            <b/>
            <sz val="9"/>
            <color indexed="81"/>
            <rFont val="Tahoma"/>
            <family val="2"/>
          </rPr>
          <t>MTrommelen:</t>
        </r>
        <r>
          <rPr>
            <sz val="9"/>
            <color indexed="81"/>
            <rFont val="Tahoma"/>
            <family val="2"/>
          </rPr>
          <t xml:space="preserve">
8 rounded</t>
        </r>
      </text>
    </comment>
    <comment ref="K12" authorId="0">
      <text>
        <r>
          <rPr>
            <b/>
            <sz val="9"/>
            <color indexed="81"/>
            <rFont val="Tahoma"/>
            <family val="2"/>
          </rPr>
          <t>MTrommelen:</t>
        </r>
        <r>
          <rPr>
            <sz val="9"/>
            <color indexed="81"/>
            <rFont val="Tahoma"/>
            <family val="2"/>
          </rPr>
          <t xml:space="preserve">
maybe; green quartzite, hornblede; faceted, SR</t>
        </r>
      </text>
    </comment>
    <comment ref="W13" authorId="0">
      <text>
        <r>
          <rPr>
            <b/>
            <sz val="9"/>
            <color indexed="81"/>
            <rFont val="Tahoma"/>
            <family val="2"/>
          </rPr>
          <t>MTrommelen:</t>
        </r>
        <r>
          <rPr>
            <sz val="9"/>
            <color indexed="81"/>
            <rFont val="Tahoma"/>
            <family val="2"/>
          </rPr>
          <t xml:space="preserve">
red and purple metased</t>
        </r>
      </text>
    </comment>
    <comment ref="G15" authorId="0">
      <text>
        <r>
          <rPr>
            <b/>
            <sz val="9"/>
            <color indexed="81"/>
            <rFont val="Tahoma"/>
            <family val="2"/>
          </rPr>
          <t>MTrommelen:</t>
        </r>
        <r>
          <rPr>
            <sz val="9"/>
            <color indexed="81"/>
            <rFont val="Tahoma"/>
            <family val="2"/>
          </rPr>
          <t xml:space="preserve">
one subrounded, faceted (far-travelled)</t>
        </r>
      </text>
    </comment>
    <comment ref="V18" authorId="0">
      <text>
        <r>
          <rPr>
            <b/>
            <sz val="9"/>
            <color indexed="81"/>
            <rFont val="Tahoma"/>
            <family val="2"/>
          </rPr>
          <t>MTrommelen:</t>
        </r>
        <r>
          <rPr>
            <sz val="9"/>
            <color indexed="81"/>
            <rFont val="Tahoma"/>
            <family val="2"/>
          </rPr>
          <t xml:space="preserve">
dark purple with red spot</t>
        </r>
      </text>
    </comment>
    <comment ref="W26" authorId="0">
      <text>
        <r>
          <rPr>
            <b/>
            <sz val="9"/>
            <color indexed="81"/>
            <rFont val="Tahoma"/>
            <family val="2"/>
          </rPr>
          <t>MTrommelen:</t>
        </r>
        <r>
          <rPr>
            <sz val="9"/>
            <color indexed="81"/>
            <rFont val="Tahoma"/>
            <family val="2"/>
          </rPr>
          <t xml:space="preserve">
purple metacong</t>
        </r>
      </text>
    </comment>
    <comment ref="O32" authorId="0">
      <text>
        <r>
          <rPr>
            <b/>
            <sz val="9"/>
            <color indexed="81"/>
            <rFont val="Tahoma"/>
            <family val="2"/>
          </rPr>
          <t>MTrommelen:</t>
        </r>
        <r>
          <rPr>
            <sz val="9"/>
            <color indexed="81"/>
            <rFont val="Tahoma"/>
            <family val="2"/>
          </rPr>
          <t xml:space="preserve">
faceted, sr</t>
        </r>
      </text>
    </comment>
    <comment ref="K35" authorId="0">
      <text>
        <r>
          <rPr>
            <b/>
            <sz val="9"/>
            <color indexed="81"/>
            <rFont val="Tahoma"/>
            <family val="2"/>
          </rPr>
          <t>MTrommelen:</t>
        </r>
        <r>
          <rPr>
            <sz val="9"/>
            <color indexed="81"/>
            <rFont val="Tahoma"/>
            <family val="2"/>
          </rPr>
          <t xml:space="preserve">
one with graphite</t>
        </r>
      </text>
    </comment>
    <comment ref="W35" authorId="0">
      <text>
        <r>
          <rPr>
            <b/>
            <sz val="9"/>
            <color indexed="81"/>
            <rFont val="Tahoma"/>
            <family val="2"/>
          </rPr>
          <t>MTrommelen:</t>
        </r>
        <r>
          <rPr>
            <sz val="9"/>
            <color indexed="81"/>
            <rFont val="Tahoma"/>
            <family val="2"/>
          </rPr>
          <t xml:space="preserve">
purple metacong</t>
        </r>
      </text>
    </comment>
    <comment ref="W37" authorId="0">
      <text>
        <r>
          <rPr>
            <b/>
            <sz val="9"/>
            <color indexed="81"/>
            <rFont val="Tahoma"/>
            <family val="2"/>
          </rPr>
          <t>MTrommelen:</t>
        </r>
        <r>
          <rPr>
            <sz val="9"/>
            <color indexed="81"/>
            <rFont val="Tahoma"/>
            <family val="2"/>
          </rPr>
          <t xml:space="preserve">
purple metacong</t>
        </r>
      </text>
    </comment>
    <comment ref="W40" authorId="0">
      <text>
        <r>
          <rPr>
            <b/>
            <sz val="9"/>
            <color indexed="81"/>
            <rFont val="Tahoma"/>
            <family val="2"/>
          </rPr>
          <t>MTrommelen:</t>
        </r>
        <r>
          <rPr>
            <sz val="9"/>
            <color indexed="81"/>
            <rFont val="Tahoma"/>
            <family val="2"/>
          </rPr>
          <t xml:space="preserve">
red volc (pitz)</t>
        </r>
      </text>
    </comment>
    <comment ref="I42" authorId="0">
      <text>
        <r>
          <rPr>
            <b/>
            <sz val="9"/>
            <color indexed="81"/>
            <rFont val="Tahoma"/>
            <family val="2"/>
          </rPr>
          <t>MTrommelen:</t>
        </r>
        <r>
          <rPr>
            <sz val="9"/>
            <color indexed="81"/>
            <rFont val="Tahoma"/>
            <family val="2"/>
          </rPr>
          <t xml:space="preserve">
piece of graphite</t>
        </r>
      </text>
    </comment>
    <comment ref="K42" authorId="0">
      <text>
        <r>
          <rPr>
            <b/>
            <sz val="9"/>
            <color indexed="81"/>
            <rFont val="Tahoma"/>
            <family val="2"/>
          </rPr>
          <t>MTrommelen:</t>
        </r>
        <r>
          <rPr>
            <sz val="9"/>
            <color indexed="81"/>
            <rFont val="Tahoma"/>
            <family val="2"/>
          </rPr>
          <t xml:space="preserve">
very soft, recessive</t>
        </r>
      </text>
    </comment>
  </commentList>
</comments>
</file>

<file path=xl/sharedStrings.xml><?xml version="1.0" encoding="utf-8"?>
<sst xmlns="http://schemas.openxmlformats.org/spreadsheetml/2006/main" count="554" uniqueCount="115">
  <si>
    <t>Sum</t>
  </si>
  <si>
    <t>Manitoba Geological Survey</t>
  </si>
  <si>
    <t>Northing (NAD 83, Zone 14)</t>
  </si>
  <si>
    <t>Easting     (NAD 83, Zone 14)</t>
  </si>
  <si>
    <t>11MT004A01</t>
  </si>
  <si>
    <t>11MT004</t>
  </si>
  <si>
    <t>11MT007A01</t>
  </si>
  <si>
    <t>11MT007</t>
  </si>
  <si>
    <t>11MT011A01</t>
  </si>
  <si>
    <t>11MT011</t>
  </si>
  <si>
    <t>11MT016A01</t>
  </si>
  <si>
    <t>11MT016</t>
  </si>
  <si>
    <t>11MT019A01</t>
  </si>
  <si>
    <t>11MT019</t>
  </si>
  <si>
    <t>11MT024A01</t>
  </si>
  <si>
    <t>11MT024</t>
  </si>
  <si>
    <t>11MT025B01</t>
  </si>
  <si>
    <t>11MT025</t>
  </si>
  <si>
    <t>11MT029A01</t>
  </si>
  <si>
    <t>11MT029</t>
  </si>
  <si>
    <t>11MT033A01</t>
  </si>
  <si>
    <t>11MT033</t>
  </si>
  <si>
    <t>11MT034A01</t>
  </si>
  <si>
    <t>11MT034</t>
  </si>
  <si>
    <t>11MT037A01</t>
  </si>
  <si>
    <t>11MT037</t>
  </si>
  <si>
    <t>11MT041A01</t>
  </si>
  <si>
    <t>11MT041</t>
  </si>
  <si>
    <t>11MT044A01</t>
  </si>
  <si>
    <t>11MT044</t>
  </si>
  <si>
    <t>11MT045A01</t>
  </si>
  <si>
    <t>11MT045</t>
  </si>
  <si>
    <t>11MT046A01</t>
  </si>
  <si>
    <t>11MT046</t>
  </si>
  <si>
    <t>11MT048A01</t>
  </si>
  <si>
    <t>11MT048</t>
  </si>
  <si>
    <t>11MT051B01</t>
  </si>
  <si>
    <t>11MT051</t>
  </si>
  <si>
    <t>11MT052A01</t>
  </si>
  <si>
    <t>11MT052</t>
  </si>
  <si>
    <t>11MT053A01</t>
  </si>
  <si>
    <t>11MT053</t>
  </si>
  <si>
    <t>11MT054A01</t>
  </si>
  <si>
    <t>11MT054</t>
  </si>
  <si>
    <t>11MT055A01</t>
  </si>
  <si>
    <t>11MT055</t>
  </si>
  <si>
    <t>11MT056A01</t>
  </si>
  <si>
    <t>11MT056</t>
  </si>
  <si>
    <t>11MT058A01</t>
  </si>
  <si>
    <t>11MT058</t>
  </si>
  <si>
    <t>11MT061A01</t>
  </si>
  <si>
    <t>11MT061</t>
  </si>
  <si>
    <t>11MT065A01</t>
  </si>
  <si>
    <t>11MT065</t>
  </si>
  <si>
    <t>11MT066A01</t>
  </si>
  <si>
    <t>11MT066</t>
  </si>
  <si>
    <t>11MT068A01</t>
  </si>
  <si>
    <t>11MT068</t>
  </si>
  <si>
    <t>11MT070A01</t>
  </si>
  <si>
    <t>11MT070</t>
  </si>
  <si>
    <t>11MT071A01</t>
  </si>
  <si>
    <t>11MT071</t>
  </si>
  <si>
    <t>11MT074A01</t>
  </si>
  <si>
    <t>11MT074</t>
  </si>
  <si>
    <t>11MT076B01</t>
  </si>
  <si>
    <t>11MT076</t>
  </si>
  <si>
    <t>11MT077A01</t>
  </si>
  <si>
    <t>11MT077</t>
  </si>
  <si>
    <t>11MT078A01</t>
  </si>
  <si>
    <t>11MT078</t>
  </si>
  <si>
    <t>11MT079B01</t>
  </si>
  <si>
    <t>11MT079</t>
  </si>
  <si>
    <t>11MT080A01</t>
  </si>
  <si>
    <t>11MT080</t>
  </si>
  <si>
    <t>11MT081A01</t>
  </si>
  <si>
    <t>11MT081</t>
  </si>
  <si>
    <t>11MT082A01</t>
  </si>
  <si>
    <t>11MT082</t>
  </si>
  <si>
    <t>11MT086A01</t>
  </si>
  <si>
    <t>11MT086</t>
  </si>
  <si>
    <t>11MT087A01</t>
  </si>
  <si>
    <t>11MT087</t>
  </si>
  <si>
    <t>11MT092A01</t>
  </si>
  <si>
    <t>11MT092</t>
  </si>
  <si>
    <t>11MT094A01</t>
  </si>
  <si>
    <t>11MT094</t>
  </si>
  <si>
    <t>Uranium association, local</t>
  </si>
  <si>
    <t>Grano-diorite</t>
  </si>
  <si>
    <t>Amphibolite</t>
  </si>
  <si>
    <t>Feldspathic meta-arenite</t>
  </si>
  <si>
    <t>Quartz</t>
  </si>
  <si>
    <t>Exotic to area</t>
  </si>
  <si>
    <t>Sample no.</t>
  </si>
  <si>
    <t>Station ID</t>
  </si>
  <si>
    <t>Granitic gneiss</t>
  </si>
  <si>
    <t>Granitoid and foliated granitoid</t>
  </si>
  <si>
    <t>Granitoid, local</t>
  </si>
  <si>
    <t>Meta-sedimentary, local</t>
  </si>
  <si>
    <t>Granitoid/shist with graphite/moly-bdenite</t>
  </si>
  <si>
    <t>Granitoid with uraninite</t>
  </si>
  <si>
    <t>Calcsilicate and marble</t>
  </si>
  <si>
    <t>Psammite</t>
  </si>
  <si>
    <t>Psammitic gneiss</t>
  </si>
  <si>
    <t>Felsic diorite</t>
  </si>
  <si>
    <t>Red quartz porphry</t>
  </si>
  <si>
    <t>Amygdaloidal intermediate volcanic</t>
  </si>
  <si>
    <t>Green slate</t>
  </si>
  <si>
    <t>Dark purple arenite with pink spots</t>
  </si>
  <si>
    <t>Red/purple metaconglomerate, metasedimentary and metavolcanic</t>
  </si>
  <si>
    <t>Kspar-qtz pegmatite</t>
  </si>
  <si>
    <t xml:space="preserve">Pelite to semipelite </t>
  </si>
  <si>
    <t>Red quartz porphyry</t>
  </si>
  <si>
    <r>
      <t xml:space="preserve">Appendix 9 </t>
    </r>
    <r>
      <rPr>
        <b/>
        <sz val="14"/>
        <rFont val="Arial"/>
        <family val="2"/>
      </rPr>
      <t>–</t>
    </r>
    <r>
      <rPr>
        <b/>
        <sz val="14"/>
        <rFont val="Times New Roman"/>
        <family val="1"/>
      </rPr>
      <t xml:space="preserve"> Till-clast lithology counts, Snyder Lake area</t>
    </r>
  </si>
  <si>
    <t>Geoscientific Paper GP2013-1</t>
  </si>
  <si>
    <r>
      <t>Contents:</t>
    </r>
    <r>
      <rPr>
        <sz val="11"/>
        <rFont val="Times New Roman"/>
        <family val="1"/>
      </rPr>
      <t xml:space="preserve">                                                                                                                                                                                       
</t>
    </r>
    <r>
      <rPr>
        <b/>
        <sz val="11"/>
        <rFont val="Times New Roman"/>
        <family val="1"/>
      </rPr>
      <t>Table 19:</t>
    </r>
    <r>
      <rPr>
        <sz val="11"/>
        <rFont val="Times New Roman"/>
        <family val="1"/>
      </rPr>
      <t xml:space="preserve"> Till-sample clast counts, sieved 8–30 mm, Snyder Lake area.                                                              </t>
    </r>
    <r>
      <rPr>
        <b/>
        <sz val="11"/>
        <rFont val="Times New Roman"/>
        <family val="1"/>
      </rPr>
      <t>Table 20:</t>
    </r>
    <r>
      <rPr>
        <sz val="11"/>
        <rFont val="Times New Roman"/>
        <family val="1"/>
      </rPr>
      <t xml:space="preserve"> Till-sample clast counts, sieved 4–8 mm, Snyder Lake area.                                                                       </t>
    </r>
    <r>
      <rPr>
        <b/>
        <sz val="11"/>
        <rFont val="Times New Roman"/>
        <family val="1"/>
      </rPr>
      <t>Table 21:</t>
    </r>
    <r>
      <rPr>
        <sz val="11"/>
        <rFont val="Times New Roman"/>
        <family val="1"/>
      </rPr>
      <t xml:space="preserve"> Till-sample clast counts, sieved 2–4 mm, Snyder Lake area.                                                                    </t>
    </r>
    <r>
      <rPr>
        <b/>
        <sz val="11"/>
        <rFont val="Times New Roman"/>
        <family val="1"/>
      </rPr>
      <t>Table 22:</t>
    </r>
    <r>
      <rPr>
        <sz val="11"/>
        <rFont val="Times New Roman"/>
        <family val="1"/>
      </rPr>
      <t xml:space="preserve"> Till-sample clast-count summary, sieved 2–30 mm, Snyder Lake area.                                                                        </t>
    </r>
    <r>
      <rPr>
        <b/>
        <sz val="11"/>
        <rFont val="Times New Roman"/>
        <family val="1"/>
      </rPr>
      <t>Table 23:</t>
    </r>
    <r>
      <rPr>
        <sz val="11"/>
        <rFont val="Times New Roman"/>
        <family val="1"/>
      </rPr>
      <t xml:space="preserve"> Till-sample clast-count summary (count-percent), Snyder Lake area.                                                  
</t>
    </r>
    <r>
      <rPr>
        <b/>
        <sz val="11"/>
        <rFont val="Times New Roman"/>
        <family val="1"/>
      </rPr>
      <t/>
    </r>
  </si>
</sst>
</file>

<file path=xl/styles.xml><?xml version="1.0" encoding="utf-8"?>
<styleSheet xmlns="http://schemas.openxmlformats.org/spreadsheetml/2006/main">
  <numFmts count="1">
    <numFmt numFmtId="164" formatCode="0.0"/>
  </numFmts>
  <fonts count="17">
    <font>
      <sz val="11"/>
      <color theme="1"/>
      <name val="Calibri"/>
      <family val="2"/>
      <scheme val="minor"/>
    </font>
    <font>
      <b/>
      <sz val="10"/>
      <color indexed="8"/>
      <name val="Calibri"/>
      <family val="2"/>
    </font>
    <font>
      <sz val="8"/>
      <name val="Calibri"/>
      <family val="2"/>
    </font>
    <font>
      <sz val="11"/>
      <color indexed="8"/>
      <name val="Calibri"/>
      <family val="2"/>
    </font>
    <font>
      <sz val="9"/>
      <name val="Geneva"/>
    </font>
    <font>
      <b/>
      <sz val="12"/>
      <name val="Times New Roman"/>
      <family val="1"/>
    </font>
    <font>
      <b/>
      <sz val="14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Arial"/>
      <family val="2"/>
    </font>
    <font>
      <sz val="10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indexed="8"/>
      <name val="Arial Black"/>
      <family val="2"/>
    </font>
    <font>
      <b/>
      <sz val="11"/>
      <color indexed="8"/>
      <name val="Calibri"/>
      <family val="2"/>
    </font>
    <font>
      <b/>
      <sz val="10"/>
      <color theme="1"/>
      <name val="Arial"/>
      <family val="2"/>
    </font>
    <font>
      <b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31">
    <xf numFmtId="0" fontId="0" fillId="0" borderId="0" xfId="0"/>
    <xf numFmtId="0" fontId="5" fillId="2" borderId="1" xfId="1" applyFont="1" applyFill="1" applyBorder="1" applyAlignment="1">
      <alignment vertical="top" wrapText="1"/>
    </xf>
    <xf numFmtId="0" fontId="5" fillId="0" borderId="2" xfId="1" applyFont="1" applyFill="1" applyBorder="1" applyAlignment="1">
      <alignment vertical="top" wrapText="1"/>
    </xf>
    <xf numFmtId="0" fontId="5" fillId="2" borderId="2" xfId="1" applyFont="1" applyFill="1" applyBorder="1" applyAlignment="1">
      <alignment vertical="top" wrapText="1"/>
    </xf>
    <xf numFmtId="0" fontId="6" fillId="2" borderId="2" xfId="1" applyFont="1" applyFill="1" applyBorder="1" applyAlignment="1">
      <alignment vertical="top" wrapText="1"/>
    </xf>
    <xf numFmtId="0" fontId="7" fillId="0" borderId="2" xfId="1" applyFont="1" applyFill="1" applyBorder="1" applyAlignment="1">
      <alignment vertical="top" wrapText="1"/>
    </xf>
    <xf numFmtId="0" fontId="8" fillId="0" borderId="2" xfId="1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1" fontId="1" fillId="0" borderId="6" xfId="0" applyNumberFormat="1" applyFont="1" applyFill="1" applyBorder="1" applyAlignment="1">
      <alignment horizontal="center" vertical="center" wrapText="1"/>
    </xf>
    <xf numFmtId="1" fontId="1" fillId="0" borderId="7" xfId="0" applyNumberFormat="1" applyFont="1" applyFill="1" applyBorder="1" applyAlignment="1">
      <alignment horizontal="center" vertical="center" wrapText="1"/>
    </xf>
    <xf numFmtId="1" fontId="1" fillId="0" borderId="8" xfId="0" applyNumberFormat="1" applyFont="1" applyFill="1" applyBorder="1" applyAlignment="1">
      <alignment horizontal="center" vertical="center" wrapText="1"/>
    </xf>
    <xf numFmtId="1" fontId="1" fillId="0" borderId="3" xfId="0" applyNumberFormat="1" applyFont="1" applyFill="1" applyBorder="1" applyAlignment="1">
      <alignment horizontal="center" vertical="center" wrapText="1"/>
    </xf>
    <xf numFmtId="1" fontId="3" fillId="0" borderId="0" xfId="0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" fontId="10" fillId="0" borderId="0" xfId="0" applyNumberFormat="1" applyFont="1" applyFill="1" applyAlignment="1">
      <alignment horizontal="center" vertical="center"/>
    </xf>
    <xf numFmtId="1" fontId="14" fillId="0" borderId="0" xfId="0" applyNumberFormat="1" applyFont="1" applyFill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2" fontId="14" fillId="0" borderId="0" xfId="0" applyNumberFormat="1" applyFont="1" applyFill="1" applyAlignment="1">
      <alignment horizontal="center" vertical="center"/>
    </xf>
    <xf numFmtId="164" fontId="14" fillId="0" borderId="0" xfId="0" applyNumberFormat="1" applyFont="1" applyFill="1" applyAlignment="1">
      <alignment horizontal="center" vertical="center"/>
    </xf>
    <xf numFmtId="1" fontId="15" fillId="0" borderId="0" xfId="0" applyNumberFormat="1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164" fontId="10" fillId="0" borderId="0" xfId="0" applyNumberFormat="1" applyFont="1" applyFill="1" applyAlignment="1">
      <alignment horizontal="center" vertical="center"/>
    </xf>
    <xf numFmtId="2" fontId="10" fillId="0" borderId="0" xfId="0" applyNumberFormat="1" applyFont="1" applyFill="1" applyAlignment="1">
      <alignment horizontal="center" vertical="center"/>
    </xf>
    <xf numFmtId="1" fontId="13" fillId="0" borderId="6" xfId="0" applyNumberFormat="1" applyFont="1" applyFill="1" applyBorder="1" applyAlignment="1">
      <alignment horizontal="center" vertical="center"/>
    </xf>
    <xf numFmtId="1" fontId="13" fillId="0" borderId="7" xfId="0" applyNumberFormat="1" applyFont="1" applyFill="1" applyBorder="1" applyAlignment="1">
      <alignment horizontal="center" vertical="center"/>
    </xf>
    <xf numFmtId="1" fontId="13" fillId="0" borderId="8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1" fontId="9" fillId="0" borderId="4" xfId="0" applyNumberFormat="1" applyFont="1" applyFill="1" applyBorder="1" applyAlignment="1">
      <alignment horizontal="center" vertical="center" wrapText="1"/>
    </xf>
    <xf numFmtId="1" fontId="9" fillId="0" borderId="5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6"/>
  <sheetViews>
    <sheetView tabSelected="1" workbookViewId="0">
      <selection activeCell="A6" sqref="A6"/>
    </sheetView>
  </sheetViews>
  <sheetFormatPr defaultRowHeight="15"/>
  <cols>
    <col min="1" max="1" width="99.7109375" customWidth="1"/>
  </cols>
  <sheetData>
    <row r="1" spans="1:1" ht="15.75">
      <c r="A1" s="1" t="s">
        <v>1</v>
      </c>
    </row>
    <row r="2" spans="1:1" ht="15.75">
      <c r="A2" s="2" t="s">
        <v>113</v>
      </c>
    </row>
    <row r="3" spans="1:1" ht="15.75" customHeight="1">
      <c r="A3" s="3"/>
    </row>
    <row r="4" spans="1:1" ht="18.75">
      <c r="A4" s="4" t="s">
        <v>112</v>
      </c>
    </row>
    <row r="5" spans="1:1" ht="15.75" customHeight="1">
      <c r="A5" s="5"/>
    </row>
    <row r="6" spans="1:1" ht="90" customHeight="1">
      <c r="A6" s="6" t="s">
        <v>114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Y46"/>
  <sheetViews>
    <sheetView workbookViewId="0">
      <pane ySplit="2" topLeftCell="A3" activePane="bottomLeft" state="frozen"/>
      <selection pane="bottomLeft" activeCell="A3" sqref="A3"/>
    </sheetView>
  </sheetViews>
  <sheetFormatPr defaultRowHeight="15"/>
  <cols>
    <col min="1" max="1" width="12.7109375" style="15"/>
    <col min="2" max="2" width="11.42578125" style="15" customWidth="1"/>
    <col min="3" max="4" width="12.7109375" style="15"/>
    <col min="5" max="5" width="8.85546875" style="12" customWidth="1"/>
    <col min="6" max="6" width="7.5703125" style="12" customWidth="1"/>
    <col min="7" max="7" width="8.5703125" style="12" customWidth="1"/>
    <col min="8" max="8" width="8.85546875" style="12" bestFit="1" customWidth="1"/>
    <col min="9" max="9" width="12.85546875" style="12" customWidth="1"/>
    <col min="10" max="10" width="8.85546875" style="12" customWidth="1"/>
    <col min="11" max="11" width="14.7109375" style="12" customWidth="1"/>
    <col min="12" max="12" width="8.85546875" style="12" customWidth="1"/>
    <col min="13" max="13" width="10.5703125" style="12" customWidth="1"/>
    <col min="14" max="14" width="8.85546875" style="12" customWidth="1"/>
    <col min="15" max="15" width="10" style="12" customWidth="1"/>
    <col min="16" max="16" width="11.42578125" style="12" customWidth="1"/>
    <col min="17" max="17" width="6.85546875" style="12" customWidth="1"/>
    <col min="18" max="18" width="8.5703125" style="12" customWidth="1"/>
    <col min="19" max="20" width="12" style="12" customWidth="1"/>
    <col min="21" max="21" width="5.85546875" style="12" customWidth="1"/>
    <col min="22" max="22" width="8.5703125" style="12" customWidth="1"/>
    <col min="23" max="23" width="17" style="12" customWidth="1"/>
    <col min="24" max="24" width="8.7109375" style="12" customWidth="1"/>
    <col min="25" max="25" width="9.42578125" style="13" customWidth="1"/>
    <col min="26" max="16384" width="9.140625" style="14"/>
  </cols>
  <sheetData>
    <row r="1" spans="1:24" ht="19.5" thickBot="1">
      <c r="A1" s="27" t="s">
        <v>92</v>
      </c>
      <c r="B1" s="27" t="s">
        <v>93</v>
      </c>
      <c r="C1" s="29" t="s">
        <v>2</v>
      </c>
      <c r="D1" s="29" t="s">
        <v>3</v>
      </c>
      <c r="E1" s="24" t="s">
        <v>96</v>
      </c>
      <c r="F1" s="25"/>
      <c r="G1" s="25"/>
      <c r="H1" s="26"/>
      <c r="I1" s="24" t="s">
        <v>86</v>
      </c>
      <c r="J1" s="25"/>
      <c r="K1" s="26"/>
      <c r="L1" s="24" t="s">
        <v>97</v>
      </c>
      <c r="M1" s="25"/>
      <c r="N1" s="25"/>
      <c r="O1" s="25"/>
      <c r="P1" s="26"/>
      <c r="R1" s="24" t="s">
        <v>91</v>
      </c>
      <c r="S1" s="25"/>
      <c r="T1" s="25"/>
      <c r="U1" s="25"/>
      <c r="V1" s="25"/>
      <c r="W1" s="26"/>
    </row>
    <row r="2" spans="1:24" s="7" customFormat="1" ht="65.25" customHeight="1" thickBot="1">
      <c r="A2" s="28"/>
      <c r="B2" s="28"/>
      <c r="C2" s="30"/>
      <c r="D2" s="30"/>
      <c r="E2" s="8" t="s">
        <v>109</v>
      </c>
      <c r="F2" s="9" t="s">
        <v>94</v>
      </c>
      <c r="G2" s="9" t="s">
        <v>87</v>
      </c>
      <c r="H2" s="10" t="s">
        <v>95</v>
      </c>
      <c r="I2" s="8" t="s">
        <v>98</v>
      </c>
      <c r="J2" s="9" t="s">
        <v>99</v>
      </c>
      <c r="K2" s="10" t="s">
        <v>100</v>
      </c>
      <c r="L2" s="8" t="s">
        <v>102</v>
      </c>
      <c r="M2" s="9" t="s">
        <v>88</v>
      </c>
      <c r="N2" s="9" t="s">
        <v>101</v>
      </c>
      <c r="O2" s="9" t="s">
        <v>110</v>
      </c>
      <c r="P2" s="10" t="s">
        <v>89</v>
      </c>
      <c r="Q2" s="11" t="s">
        <v>90</v>
      </c>
      <c r="R2" s="8" t="s">
        <v>103</v>
      </c>
      <c r="S2" s="9" t="s">
        <v>111</v>
      </c>
      <c r="T2" s="9" t="s">
        <v>105</v>
      </c>
      <c r="U2" s="9" t="s">
        <v>106</v>
      </c>
      <c r="V2" s="9" t="s">
        <v>107</v>
      </c>
      <c r="W2" s="10" t="s">
        <v>108</v>
      </c>
      <c r="X2" s="11" t="s">
        <v>0</v>
      </c>
    </row>
    <row r="3" spans="1:24">
      <c r="A3" s="15" t="s">
        <v>4</v>
      </c>
      <c r="B3" s="15" t="s">
        <v>5</v>
      </c>
      <c r="C3" s="15">
        <v>6581465</v>
      </c>
      <c r="D3" s="15">
        <v>346600</v>
      </c>
      <c r="E3" s="12">
        <v>9</v>
      </c>
      <c r="F3" s="12">
        <v>0</v>
      </c>
      <c r="G3" s="12">
        <v>0</v>
      </c>
      <c r="H3" s="12">
        <v>3</v>
      </c>
      <c r="I3" s="12">
        <v>0</v>
      </c>
      <c r="J3" s="12">
        <v>0</v>
      </c>
      <c r="K3" s="12">
        <v>0</v>
      </c>
      <c r="L3" s="12">
        <v>9</v>
      </c>
      <c r="M3" s="12">
        <v>0</v>
      </c>
      <c r="N3" s="12">
        <v>0</v>
      </c>
      <c r="O3" s="12">
        <v>1</v>
      </c>
      <c r="P3" s="12">
        <v>0</v>
      </c>
      <c r="Q3" s="12">
        <v>0</v>
      </c>
      <c r="R3" s="12">
        <v>0</v>
      </c>
      <c r="S3" s="12">
        <v>0</v>
      </c>
      <c r="T3" s="12">
        <v>0</v>
      </c>
      <c r="U3" s="12">
        <v>0</v>
      </c>
      <c r="V3" s="12">
        <v>0</v>
      </c>
      <c r="W3" s="12">
        <v>0</v>
      </c>
      <c r="X3" s="12">
        <f>SUM(E3:W3)</f>
        <v>22</v>
      </c>
    </row>
    <row r="4" spans="1:24">
      <c r="A4" s="15" t="s">
        <v>6</v>
      </c>
      <c r="B4" s="15" t="s">
        <v>7</v>
      </c>
      <c r="C4" s="15">
        <v>6581542.75</v>
      </c>
      <c r="D4" s="15">
        <v>347517.37</v>
      </c>
      <c r="E4" s="12">
        <v>13</v>
      </c>
      <c r="F4" s="12">
        <v>0</v>
      </c>
      <c r="G4" s="12">
        <v>0</v>
      </c>
      <c r="H4" s="12">
        <v>9</v>
      </c>
      <c r="I4" s="12">
        <v>0</v>
      </c>
      <c r="J4" s="12">
        <v>0</v>
      </c>
      <c r="K4" s="12">
        <v>0</v>
      </c>
      <c r="L4" s="12">
        <v>8</v>
      </c>
      <c r="M4" s="12">
        <v>0</v>
      </c>
      <c r="N4" s="12">
        <v>0</v>
      </c>
      <c r="O4" s="12">
        <v>2</v>
      </c>
      <c r="P4" s="12">
        <v>0</v>
      </c>
      <c r="Q4" s="12">
        <v>0</v>
      </c>
      <c r="R4" s="12">
        <v>0</v>
      </c>
      <c r="S4" s="12">
        <v>0</v>
      </c>
      <c r="T4" s="12">
        <v>0</v>
      </c>
      <c r="U4" s="12">
        <v>0</v>
      </c>
      <c r="V4" s="12">
        <v>0</v>
      </c>
      <c r="W4" s="12">
        <v>0</v>
      </c>
      <c r="X4" s="12">
        <f t="shared" ref="X4:X43" si="0">SUM(E4:W4)</f>
        <v>32</v>
      </c>
    </row>
    <row r="5" spans="1:24">
      <c r="A5" s="15" t="s">
        <v>8</v>
      </c>
      <c r="B5" s="15" t="s">
        <v>9</v>
      </c>
      <c r="C5" s="15">
        <v>6580994.7999999998</v>
      </c>
      <c r="D5" s="15">
        <v>345963.6</v>
      </c>
      <c r="E5" s="12">
        <v>26</v>
      </c>
      <c r="F5" s="12">
        <v>2</v>
      </c>
      <c r="G5" s="12">
        <v>0</v>
      </c>
      <c r="H5" s="12">
        <v>7</v>
      </c>
      <c r="I5" s="12">
        <v>0</v>
      </c>
      <c r="J5" s="12">
        <v>0</v>
      </c>
      <c r="K5" s="12">
        <v>0</v>
      </c>
      <c r="L5" s="12">
        <v>36</v>
      </c>
      <c r="M5" s="12">
        <v>0</v>
      </c>
      <c r="N5" s="12">
        <v>0</v>
      </c>
      <c r="O5" s="12">
        <v>0</v>
      </c>
      <c r="P5" s="12">
        <v>0</v>
      </c>
      <c r="Q5" s="12">
        <v>0</v>
      </c>
      <c r="R5" s="12">
        <v>0</v>
      </c>
      <c r="S5" s="12">
        <v>0</v>
      </c>
      <c r="T5" s="12">
        <v>0</v>
      </c>
      <c r="U5" s="12">
        <v>0</v>
      </c>
      <c r="V5" s="12">
        <v>0</v>
      </c>
      <c r="W5" s="12">
        <v>0</v>
      </c>
      <c r="X5" s="12">
        <f t="shared" si="0"/>
        <v>71</v>
      </c>
    </row>
    <row r="6" spans="1:24">
      <c r="A6" s="15" t="s">
        <v>10</v>
      </c>
      <c r="B6" s="15" t="s">
        <v>11</v>
      </c>
      <c r="C6" s="15">
        <v>6583705.7999999998</v>
      </c>
      <c r="D6" s="15">
        <v>351451.9</v>
      </c>
      <c r="E6" s="12">
        <v>5</v>
      </c>
      <c r="F6" s="12">
        <v>0</v>
      </c>
      <c r="G6" s="12">
        <v>0</v>
      </c>
      <c r="H6" s="12">
        <v>6</v>
      </c>
      <c r="I6" s="12">
        <v>0</v>
      </c>
      <c r="J6" s="12">
        <v>0</v>
      </c>
      <c r="K6" s="12">
        <v>3</v>
      </c>
      <c r="L6" s="12">
        <v>34</v>
      </c>
      <c r="M6" s="12">
        <v>0</v>
      </c>
      <c r="N6" s="12">
        <v>7</v>
      </c>
      <c r="O6" s="12">
        <v>0</v>
      </c>
      <c r="P6" s="12">
        <v>1</v>
      </c>
      <c r="Q6" s="12">
        <v>0</v>
      </c>
      <c r="R6" s="12">
        <v>0</v>
      </c>
      <c r="S6" s="12">
        <v>0</v>
      </c>
      <c r="T6" s="12">
        <v>0</v>
      </c>
      <c r="U6" s="12">
        <v>0</v>
      </c>
      <c r="V6" s="12">
        <v>0</v>
      </c>
      <c r="W6" s="12">
        <v>0</v>
      </c>
      <c r="X6" s="12">
        <f t="shared" si="0"/>
        <v>56</v>
      </c>
    </row>
    <row r="7" spans="1:24">
      <c r="A7" s="15" t="s">
        <v>12</v>
      </c>
      <c r="B7" s="15" t="s">
        <v>13</v>
      </c>
      <c r="C7" s="15">
        <v>6585327.2000000002</v>
      </c>
      <c r="D7" s="15">
        <v>351107.1</v>
      </c>
      <c r="E7" s="12">
        <v>1</v>
      </c>
      <c r="F7" s="12">
        <v>1</v>
      </c>
      <c r="G7" s="12">
        <v>0</v>
      </c>
      <c r="H7" s="12">
        <v>5</v>
      </c>
      <c r="I7" s="12">
        <v>0</v>
      </c>
      <c r="J7" s="12">
        <v>0</v>
      </c>
      <c r="K7" s="12">
        <v>0</v>
      </c>
      <c r="L7" s="12">
        <v>6</v>
      </c>
      <c r="M7" s="12">
        <v>0</v>
      </c>
      <c r="N7" s="12">
        <v>3</v>
      </c>
      <c r="O7" s="12">
        <v>2</v>
      </c>
      <c r="P7" s="12">
        <v>1</v>
      </c>
      <c r="Q7" s="12">
        <v>0</v>
      </c>
      <c r="R7" s="12">
        <v>0</v>
      </c>
      <c r="S7" s="12">
        <v>0</v>
      </c>
      <c r="T7" s="12">
        <v>0</v>
      </c>
      <c r="U7" s="12">
        <v>0</v>
      </c>
      <c r="V7" s="12">
        <v>0</v>
      </c>
      <c r="W7" s="12">
        <v>0</v>
      </c>
      <c r="X7" s="12">
        <f t="shared" si="0"/>
        <v>19</v>
      </c>
    </row>
    <row r="8" spans="1:24">
      <c r="A8" s="15" t="s">
        <v>14</v>
      </c>
      <c r="B8" s="15" t="s">
        <v>15</v>
      </c>
      <c r="C8" s="15">
        <v>6580536.7999999998</v>
      </c>
      <c r="D8" s="15">
        <v>347328.3</v>
      </c>
      <c r="E8" s="12">
        <v>4</v>
      </c>
      <c r="F8" s="12">
        <v>0</v>
      </c>
      <c r="G8" s="12">
        <v>0</v>
      </c>
      <c r="H8" s="12">
        <v>4</v>
      </c>
      <c r="I8" s="12">
        <v>0</v>
      </c>
      <c r="J8" s="12">
        <v>0</v>
      </c>
      <c r="K8" s="12">
        <v>0</v>
      </c>
      <c r="L8" s="12">
        <v>7</v>
      </c>
      <c r="M8" s="12">
        <v>0</v>
      </c>
      <c r="N8" s="12">
        <v>0</v>
      </c>
      <c r="O8" s="12">
        <v>0</v>
      </c>
      <c r="P8" s="12">
        <v>0</v>
      </c>
      <c r="Q8" s="12">
        <v>3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2">
        <v>0</v>
      </c>
      <c r="X8" s="12">
        <f t="shared" si="0"/>
        <v>18</v>
      </c>
    </row>
    <row r="9" spans="1:24">
      <c r="A9" s="15" t="s">
        <v>16</v>
      </c>
      <c r="B9" s="15" t="s">
        <v>17</v>
      </c>
      <c r="C9" s="15">
        <v>6587928.7000000002</v>
      </c>
      <c r="D9" s="15">
        <v>350635.4</v>
      </c>
      <c r="E9" s="12">
        <v>16</v>
      </c>
      <c r="F9" s="12">
        <v>0</v>
      </c>
      <c r="G9" s="12">
        <v>0</v>
      </c>
      <c r="H9" s="12">
        <v>0</v>
      </c>
      <c r="I9" s="12">
        <v>0</v>
      </c>
      <c r="J9" s="12">
        <v>0</v>
      </c>
      <c r="K9" s="12">
        <v>1</v>
      </c>
      <c r="L9" s="12">
        <v>46</v>
      </c>
      <c r="M9" s="12">
        <v>0</v>
      </c>
      <c r="N9" s="12">
        <v>13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U9" s="12">
        <v>0</v>
      </c>
      <c r="V9" s="12">
        <v>0</v>
      </c>
      <c r="W9" s="12">
        <v>0</v>
      </c>
      <c r="X9" s="12">
        <f t="shared" si="0"/>
        <v>76</v>
      </c>
    </row>
    <row r="10" spans="1:24">
      <c r="A10" s="15" t="s">
        <v>18</v>
      </c>
      <c r="B10" s="15" t="s">
        <v>19</v>
      </c>
      <c r="C10" s="15">
        <v>6589195.0999999996</v>
      </c>
      <c r="D10" s="15">
        <v>351269.1</v>
      </c>
      <c r="E10" s="12">
        <v>8</v>
      </c>
      <c r="F10" s="12">
        <v>0</v>
      </c>
      <c r="G10" s="12">
        <v>0</v>
      </c>
      <c r="H10" s="12">
        <v>6</v>
      </c>
      <c r="I10" s="12">
        <v>0</v>
      </c>
      <c r="J10" s="12">
        <v>0</v>
      </c>
      <c r="K10" s="12">
        <v>0</v>
      </c>
      <c r="L10" s="12">
        <v>33</v>
      </c>
      <c r="M10" s="12">
        <v>0</v>
      </c>
      <c r="N10" s="12">
        <v>3</v>
      </c>
      <c r="O10" s="12">
        <v>1</v>
      </c>
      <c r="P10" s="12">
        <v>3</v>
      </c>
      <c r="Q10" s="12">
        <v>0</v>
      </c>
      <c r="R10" s="12">
        <v>0</v>
      </c>
      <c r="S10" s="12">
        <v>0</v>
      </c>
      <c r="T10" s="12">
        <v>0</v>
      </c>
      <c r="U10" s="12">
        <v>1</v>
      </c>
      <c r="V10" s="12">
        <v>0</v>
      </c>
      <c r="W10" s="12">
        <v>0</v>
      </c>
      <c r="X10" s="12">
        <f t="shared" si="0"/>
        <v>55</v>
      </c>
    </row>
    <row r="11" spans="1:24">
      <c r="A11" s="15" t="s">
        <v>20</v>
      </c>
      <c r="B11" s="15" t="s">
        <v>21</v>
      </c>
      <c r="C11" s="15">
        <v>6589311.4000000004</v>
      </c>
      <c r="D11" s="15">
        <v>348240.8</v>
      </c>
      <c r="E11" s="12">
        <v>7</v>
      </c>
      <c r="F11" s="12">
        <v>0</v>
      </c>
      <c r="G11" s="12">
        <v>0</v>
      </c>
      <c r="H11" s="12">
        <v>6</v>
      </c>
      <c r="I11" s="12">
        <v>0</v>
      </c>
      <c r="J11" s="12">
        <v>0</v>
      </c>
      <c r="K11" s="12">
        <v>0</v>
      </c>
      <c r="L11" s="12">
        <v>11</v>
      </c>
      <c r="M11" s="12">
        <v>1</v>
      </c>
      <c r="N11" s="12">
        <v>6</v>
      </c>
      <c r="O11" s="12">
        <v>2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f t="shared" si="0"/>
        <v>33</v>
      </c>
    </row>
    <row r="12" spans="1:24">
      <c r="A12" s="15" t="s">
        <v>22</v>
      </c>
      <c r="B12" s="15" t="s">
        <v>23</v>
      </c>
      <c r="C12" s="15">
        <v>6589480.5999999996</v>
      </c>
      <c r="D12" s="15">
        <v>348282.9</v>
      </c>
      <c r="E12" s="12">
        <v>6</v>
      </c>
      <c r="F12" s="12">
        <v>1</v>
      </c>
      <c r="G12" s="12">
        <v>2</v>
      </c>
      <c r="H12" s="12">
        <v>8</v>
      </c>
      <c r="I12" s="12">
        <v>0</v>
      </c>
      <c r="J12" s="12">
        <v>0</v>
      </c>
      <c r="K12" s="12">
        <v>0</v>
      </c>
      <c r="L12" s="12">
        <v>7</v>
      </c>
      <c r="M12" s="12">
        <v>0</v>
      </c>
      <c r="N12" s="12">
        <v>4</v>
      </c>
      <c r="O12" s="12">
        <v>3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f t="shared" si="0"/>
        <v>31</v>
      </c>
    </row>
    <row r="13" spans="1:24">
      <c r="A13" s="15" t="s">
        <v>24</v>
      </c>
      <c r="B13" s="15" t="s">
        <v>25</v>
      </c>
      <c r="C13" s="15">
        <v>658422.9</v>
      </c>
      <c r="D13" s="15">
        <v>34474.6</v>
      </c>
      <c r="E13" s="12">
        <v>5</v>
      </c>
      <c r="F13" s="12">
        <v>0</v>
      </c>
      <c r="G13" s="12">
        <v>0</v>
      </c>
      <c r="H13" s="12">
        <v>7</v>
      </c>
      <c r="I13" s="12">
        <v>0</v>
      </c>
      <c r="J13" s="12">
        <v>0</v>
      </c>
      <c r="K13" s="12">
        <v>0</v>
      </c>
      <c r="L13" s="12">
        <v>17</v>
      </c>
      <c r="M13" s="12">
        <v>0</v>
      </c>
      <c r="N13" s="12">
        <v>0</v>
      </c>
      <c r="O13" s="12">
        <v>1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f t="shared" si="0"/>
        <v>30</v>
      </c>
    </row>
    <row r="14" spans="1:24">
      <c r="A14" s="15" t="s">
        <v>26</v>
      </c>
      <c r="B14" s="15" t="s">
        <v>27</v>
      </c>
      <c r="C14" s="15">
        <v>6584573.5</v>
      </c>
      <c r="D14" s="15">
        <v>344348.6</v>
      </c>
      <c r="E14" s="12">
        <v>1</v>
      </c>
      <c r="F14" s="12">
        <v>0</v>
      </c>
      <c r="G14" s="12">
        <v>0</v>
      </c>
      <c r="H14" s="12">
        <v>2</v>
      </c>
      <c r="I14" s="12">
        <v>0</v>
      </c>
      <c r="J14" s="12">
        <v>0</v>
      </c>
      <c r="K14" s="12">
        <v>0</v>
      </c>
      <c r="L14" s="12">
        <v>9</v>
      </c>
      <c r="M14" s="12">
        <v>0</v>
      </c>
      <c r="N14" s="12">
        <v>10</v>
      </c>
      <c r="O14" s="12">
        <v>0</v>
      </c>
      <c r="P14" s="12">
        <v>1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f t="shared" si="0"/>
        <v>23</v>
      </c>
    </row>
    <row r="15" spans="1:24">
      <c r="A15" s="15" t="s">
        <v>28</v>
      </c>
      <c r="B15" s="15" t="s">
        <v>29</v>
      </c>
      <c r="C15" s="15">
        <v>6584288.4000000004</v>
      </c>
      <c r="D15" s="15">
        <v>344008.5</v>
      </c>
      <c r="E15" s="12">
        <v>5</v>
      </c>
      <c r="F15" s="12">
        <v>0</v>
      </c>
      <c r="G15" s="12">
        <v>1</v>
      </c>
      <c r="H15" s="12">
        <v>5</v>
      </c>
      <c r="I15" s="12">
        <v>0</v>
      </c>
      <c r="J15" s="12">
        <v>0</v>
      </c>
      <c r="K15" s="12">
        <v>0</v>
      </c>
      <c r="L15" s="12">
        <v>15</v>
      </c>
      <c r="M15" s="12">
        <v>0</v>
      </c>
      <c r="N15" s="12">
        <v>6</v>
      </c>
      <c r="O15" s="12">
        <v>1</v>
      </c>
      <c r="P15" s="12">
        <v>1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f t="shared" si="0"/>
        <v>34</v>
      </c>
    </row>
    <row r="16" spans="1:24">
      <c r="A16" s="15" t="s">
        <v>30</v>
      </c>
      <c r="B16" s="15" t="s">
        <v>31</v>
      </c>
      <c r="C16" s="15">
        <v>6585058.0199999996</v>
      </c>
      <c r="D16" s="15">
        <v>344011.89</v>
      </c>
      <c r="E16" s="12">
        <v>3</v>
      </c>
      <c r="F16" s="12">
        <v>2</v>
      </c>
      <c r="G16" s="12">
        <v>0</v>
      </c>
      <c r="H16" s="12">
        <v>9</v>
      </c>
      <c r="I16" s="12">
        <v>0</v>
      </c>
      <c r="J16" s="12">
        <v>0</v>
      </c>
      <c r="K16" s="12">
        <v>0</v>
      </c>
      <c r="L16" s="12">
        <v>18</v>
      </c>
      <c r="M16" s="12">
        <v>0</v>
      </c>
      <c r="N16" s="12">
        <v>3</v>
      </c>
      <c r="O16" s="12">
        <v>2</v>
      </c>
      <c r="P16" s="12">
        <v>1</v>
      </c>
      <c r="Q16" s="12">
        <v>2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f t="shared" si="0"/>
        <v>40</v>
      </c>
    </row>
    <row r="17" spans="1:24">
      <c r="A17" s="15" t="s">
        <v>32</v>
      </c>
      <c r="B17" s="15" t="s">
        <v>33</v>
      </c>
      <c r="C17" s="15">
        <v>6585058.0199999996</v>
      </c>
      <c r="D17" s="15">
        <v>344011.89</v>
      </c>
      <c r="E17" s="12">
        <v>6</v>
      </c>
      <c r="F17" s="12">
        <v>4</v>
      </c>
      <c r="G17" s="12">
        <v>0</v>
      </c>
      <c r="H17" s="12">
        <v>2</v>
      </c>
      <c r="I17" s="12">
        <v>0</v>
      </c>
      <c r="J17" s="12">
        <v>0</v>
      </c>
      <c r="K17" s="12">
        <v>0</v>
      </c>
      <c r="L17" s="12">
        <v>11</v>
      </c>
      <c r="M17" s="12">
        <v>0</v>
      </c>
      <c r="N17" s="12">
        <v>2</v>
      </c>
      <c r="O17" s="12">
        <v>3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f t="shared" si="0"/>
        <v>28</v>
      </c>
    </row>
    <row r="18" spans="1:24">
      <c r="A18" s="15" t="s">
        <v>34</v>
      </c>
      <c r="B18" s="15" t="s">
        <v>35</v>
      </c>
      <c r="C18" s="15">
        <v>6584577.7000000002</v>
      </c>
      <c r="D18" s="15">
        <v>343202.7</v>
      </c>
      <c r="E18" s="12">
        <v>4</v>
      </c>
      <c r="F18" s="12">
        <v>1</v>
      </c>
      <c r="G18" s="12">
        <v>0</v>
      </c>
      <c r="H18" s="12">
        <v>0</v>
      </c>
      <c r="I18" s="12">
        <v>0</v>
      </c>
      <c r="J18" s="12">
        <v>0</v>
      </c>
      <c r="K18" s="12">
        <v>4</v>
      </c>
      <c r="L18" s="12">
        <v>6</v>
      </c>
      <c r="M18" s="12">
        <v>0</v>
      </c>
      <c r="N18" s="12">
        <v>0</v>
      </c>
      <c r="O18" s="12">
        <v>1</v>
      </c>
      <c r="P18" s="12">
        <v>1</v>
      </c>
      <c r="Q18" s="12">
        <v>2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f t="shared" si="0"/>
        <v>19</v>
      </c>
    </row>
    <row r="19" spans="1:24">
      <c r="A19" s="15" t="s">
        <v>36</v>
      </c>
      <c r="B19" s="15" t="s">
        <v>37</v>
      </c>
      <c r="C19" s="15">
        <v>6584210.9000000004</v>
      </c>
      <c r="D19" s="15">
        <v>342756.7</v>
      </c>
      <c r="E19" s="12">
        <v>0</v>
      </c>
      <c r="F19" s="12">
        <v>0</v>
      </c>
      <c r="G19" s="12">
        <v>0</v>
      </c>
      <c r="H19" s="12">
        <v>1</v>
      </c>
      <c r="I19" s="12">
        <v>0</v>
      </c>
      <c r="J19" s="12">
        <v>0</v>
      </c>
      <c r="K19" s="12">
        <v>5</v>
      </c>
      <c r="L19" s="12">
        <v>10</v>
      </c>
      <c r="M19" s="12">
        <v>0</v>
      </c>
      <c r="N19" s="12">
        <v>2</v>
      </c>
      <c r="O19" s="12">
        <v>4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f t="shared" si="0"/>
        <v>22</v>
      </c>
    </row>
    <row r="20" spans="1:24">
      <c r="A20" s="15" t="s">
        <v>38</v>
      </c>
      <c r="B20" s="15" t="s">
        <v>39</v>
      </c>
      <c r="C20" s="15">
        <v>6585006.5999999996</v>
      </c>
      <c r="D20" s="15">
        <v>342433.4</v>
      </c>
      <c r="E20" s="12">
        <v>1</v>
      </c>
      <c r="F20" s="12">
        <v>0</v>
      </c>
      <c r="G20" s="12">
        <v>0</v>
      </c>
      <c r="H20" s="12">
        <v>3</v>
      </c>
      <c r="I20" s="12">
        <v>0</v>
      </c>
      <c r="J20" s="12">
        <v>0</v>
      </c>
      <c r="K20" s="12">
        <v>0</v>
      </c>
      <c r="L20" s="12">
        <v>6</v>
      </c>
      <c r="M20" s="12">
        <v>0</v>
      </c>
      <c r="N20" s="12">
        <v>5</v>
      </c>
      <c r="O20" s="12">
        <v>1</v>
      </c>
      <c r="P20" s="12">
        <v>0</v>
      </c>
      <c r="Q20" s="12">
        <v>1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f t="shared" si="0"/>
        <v>17</v>
      </c>
    </row>
    <row r="21" spans="1:24">
      <c r="A21" s="15" t="s">
        <v>40</v>
      </c>
      <c r="B21" s="15" t="s">
        <v>41</v>
      </c>
      <c r="C21" s="15">
        <v>6585646.9000000004</v>
      </c>
      <c r="D21" s="15">
        <v>343175.7</v>
      </c>
      <c r="E21" s="12">
        <v>6</v>
      </c>
      <c r="F21" s="12">
        <v>1</v>
      </c>
      <c r="G21" s="12">
        <v>0</v>
      </c>
      <c r="H21" s="12">
        <v>6</v>
      </c>
      <c r="I21" s="12">
        <v>0</v>
      </c>
      <c r="J21" s="12">
        <v>0</v>
      </c>
      <c r="K21" s="12">
        <v>4</v>
      </c>
      <c r="L21" s="12">
        <v>13</v>
      </c>
      <c r="M21" s="12">
        <v>0</v>
      </c>
      <c r="N21" s="12">
        <v>22</v>
      </c>
      <c r="O21" s="12">
        <v>3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f t="shared" si="0"/>
        <v>55</v>
      </c>
    </row>
    <row r="22" spans="1:24">
      <c r="A22" s="15" t="s">
        <v>42</v>
      </c>
      <c r="B22" s="15" t="s">
        <v>43</v>
      </c>
      <c r="C22" s="15">
        <v>6587679</v>
      </c>
      <c r="D22" s="15">
        <v>345346</v>
      </c>
      <c r="E22" s="12">
        <v>3</v>
      </c>
      <c r="F22" s="12">
        <v>1</v>
      </c>
      <c r="G22" s="12">
        <v>0</v>
      </c>
      <c r="H22" s="12">
        <v>15</v>
      </c>
      <c r="I22" s="12">
        <v>0</v>
      </c>
      <c r="J22" s="12">
        <v>0</v>
      </c>
      <c r="K22" s="12">
        <v>0</v>
      </c>
      <c r="L22" s="12">
        <v>10</v>
      </c>
      <c r="M22" s="12">
        <v>0</v>
      </c>
      <c r="N22" s="12">
        <v>14</v>
      </c>
      <c r="O22" s="12">
        <v>3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f t="shared" si="0"/>
        <v>46</v>
      </c>
    </row>
    <row r="23" spans="1:24">
      <c r="A23" s="15" t="s">
        <v>44</v>
      </c>
      <c r="B23" s="15" t="s">
        <v>45</v>
      </c>
      <c r="C23" s="15">
        <v>6586902</v>
      </c>
      <c r="D23" s="15">
        <v>344191</v>
      </c>
      <c r="E23" s="12">
        <v>15</v>
      </c>
      <c r="F23" s="12">
        <v>0</v>
      </c>
      <c r="G23" s="12">
        <v>0</v>
      </c>
      <c r="H23" s="12">
        <v>12</v>
      </c>
      <c r="I23" s="12">
        <v>0</v>
      </c>
      <c r="J23" s="12">
        <v>0</v>
      </c>
      <c r="K23" s="12">
        <v>0</v>
      </c>
      <c r="L23" s="12">
        <v>20</v>
      </c>
      <c r="M23" s="12">
        <v>0</v>
      </c>
      <c r="N23" s="12">
        <v>4</v>
      </c>
      <c r="O23" s="12">
        <v>2</v>
      </c>
      <c r="P23" s="12">
        <v>0</v>
      </c>
      <c r="Q23" s="12">
        <v>2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f t="shared" si="0"/>
        <v>55</v>
      </c>
    </row>
    <row r="24" spans="1:24">
      <c r="A24" s="15" t="s">
        <v>46</v>
      </c>
      <c r="B24" s="15" t="s">
        <v>47</v>
      </c>
      <c r="C24" s="15">
        <v>6579434.2999999998</v>
      </c>
      <c r="D24" s="15">
        <v>341857.4</v>
      </c>
      <c r="E24" s="12">
        <v>8</v>
      </c>
      <c r="F24" s="12">
        <v>0</v>
      </c>
      <c r="G24" s="12">
        <v>0</v>
      </c>
      <c r="H24" s="12">
        <v>4</v>
      </c>
      <c r="I24" s="12">
        <v>0</v>
      </c>
      <c r="J24" s="12">
        <v>0</v>
      </c>
      <c r="K24" s="12">
        <v>0</v>
      </c>
      <c r="L24" s="12">
        <v>3</v>
      </c>
      <c r="M24" s="12">
        <v>0</v>
      </c>
      <c r="N24" s="12">
        <v>0</v>
      </c>
      <c r="O24" s="12">
        <v>0</v>
      </c>
      <c r="P24" s="12">
        <v>0</v>
      </c>
      <c r="Q24" s="12">
        <v>1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f t="shared" si="0"/>
        <v>16</v>
      </c>
    </row>
    <row r="25" spans="1:24">
      <c r="A25" s="15" t="s">
        <v>48</v>
      </c>
      <c r="B25" s="15" t="s">
        <v>49</v>
      </c>
      <c r="C25" s="15">
        <v>6579618.9000000004</v>
      </c>
      <c r="D25" s="15">
        <v>342074.8</v>
      </c>
      <c r="E25" s="12">
        <v>2</v>
      </c>
      <c r="F25" s="12">
        <v>2</v>
      </c>
      <c r="G25" s="12">
        <v>0</v>
      </c>
      <c r="H25" s="12">
        <v>8</v>
      </c>
      <c r="I25" s="12">
        <v>0</v>
      </c>
      <c r="J25" s="12">
        <v>0</v>
      </c>
      <c r="K25" s="12">
        <v>9</v>
      </c>
      <c r="L25" s="12">
        <v>11</v>
      </c>
      <c r="M25" s="12">
        <v>0</v>
      </c>
      <c r="N25" s="12">
        <v>0</v>
      </c>
      <c r="O25" s="12">
        <v>3</v>
      </c>
      <c r="P25" s="12">
        <v>1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f t="shared" si="0"/>
        <v>36</v>
      </c>
    </row>
    <row r="26" spans="1:24">
      <c r="A26" s="15" t="s">
        <v>50</v>
      </c>
      <c r="B26" s="15" t="s">
        <v>51</v>
      </c>
      <c r="C26" s="15">
        <v>6580290.5</v>
      </c>
      <c r="D26" s="15">
        <v>343856</v>
      </c>
      <c r="E26" s="12">
        <v>19</v>
      </c>
      <c r="F26" s="12">
        <v>1</v>
      </c>
      <c r="G26" s="12">
        <v>0</v>
      </c>
      <c r="H26" s="12">
        <v>16</v>
      </c>
      <c r="I26" s="12">
        <v>0</v>
      </c>
      <c r="J26" s="12">
        <v>0</v>
      </c>
      <c r="K26" s="12">
        <v>1</v>
      </c>
      <c r="L26" s="12">
        <v>21</v>
      </c>
      <c r="M26" s="12">
        <v>0</v>
      </c>
      <c r="N26" s="12">
        <v>0</v>
      </c>
      <c r="O26" s="12">
        <v>1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f t="shared" si="0"/>
        <v>59</v>
      </c>
    </row>
    <row r="27" spans="1:24">
      <c r="A27" s="15" t="s">
        <v>52</v>
      </c>
      <c r="B27" s="15" t="s">
        <v>53</v>
      </c>
      <c r="C27" s="15">
        <v>6585399</v>
      </c>
      <c r="D27" s="15">
        <v>346667</v>
      </c>
      <c r="E27" s="12">
        <v>6</v>
      </c>
      <c r="F27" s="12">
        <v>1</v>
      </c>
      <c r="G27" s="12">
        <v>0</v>
      </c>
      <c r="H27" s="12">
        <v>9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3</v>
      </c>
      <c r="O27" s="12">
        <v>2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f t="shared" si="0"/>
        <v>21</v>
      </c>
    </row>
    <row r="28" spans="1:24">
      <c r="A28" s="15" t="s">
        <v>54</v>
      </c>
      <c r="B28" s="15" t="s">
        <v>55</v>
      </c>
      <c r="C28" s="15">
        <v>6585134</v>
      </c>
      <c r="D28" s="15">
        <v>345433</v>
      </c>
      <c r="E28" s="12">
        <v>43</v>
      </c>
      <c r="F28" s="12">
        <v>1</v>
      </c>
      <c r="G28" s="12">
        <v>0</v>
      </c>
      <c r="H28" s="12">
        <v>6</v>
      </c>
      <c r="I28" s="12">
        <v>0</v>
      </c>
      <c r="J28" s="12">
        <v>0</v>
      </c>
      <c r="K28" s="12">
        <v>0</v>
      </c>
      <c r="L28" s="12">
        <v>17</v>
      </c>
      <c r="M28" s="12">
        <v>0</v>
      </c>
      <c r="N28" s="12">
        <v>12</v>
      </c>
      <c r="O28" s="12">
        <v>3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f t="shared" si="0"/>
        <v>82</v>
      </c>
    </row>
    <row r="29" spans="1:24">
      <c r="A29" s="15" t="s">
        <v>56</v>
      </c>
      <c r="B29" s="15" t="s">
        <v>57</v>
      </c>
      <c r="C29" s="15">
        <v>6586118.5999999996</v>
      </c>
      <c r="D29" s="15">
        <v>343169.3</v>
      </c>
      <c r="E29" s="12">
        <v>3</v>
      </c>
      <c r="F29" s="12">
        <v>7</v>
      </c>
      <c r="G29" s="12">
        <v>0</v>
      </c>
      <c r="H29" s="12">
        <v>14</v>
      </c>
      <c r="I29" s="12">
        <v>0</v>
      </c>
      <c r="J29" s="12">
        <v>0</v>
      </c>
      <c r="K29" s="12">
        <v>0</v>
      </c>
      <c r="L29" s="12">
        <v>7</v>
      </c>
      <c r="M29" s="12">
        <v>0</v>
      </c>
      <c r="N29" s="14">
        <v>0</v>
      </c>
      <c r="O29" s="12">
        <v>12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f t="shared" si="0"/>
        <v>43</v>
      </c>
    </row>
    <row r="30" spans="1:24">
      <c r="A30" s="15" t="s">
        <v>58</v>
      </c>
      <c r="B30" s="15" t="s">
        <v>59</v>
      </c>
      <c r="C30" s="15">
        <v>6587819.5</v>
      </c>
      <c r="D30" s="15">
        <v>353653.5</v>
      </c>
      <c r="E30" s="12">
        <v>0</v>
      </c>
      <c r="F30" s="12">
        <v>0</v>
      </c>
      <c r="G30" s="12">
        <v>0</v>
      </c>
      <c r="H30" s="12">
        <v>5</v>
      </c>
      <c r="I30" s="12">
        <v>15</v>
      </c>
      <c r="J30" s="12">
        <v>0</v>
      </c>
      <c r="K30" s="12">
        <v>0</v>
      </c>
      <c r="L30" s="12">
        <v>15</v>
      </c>
      <c r="M30" s="12">
        <v>0</v>
      </c>
      <c r="N30" s="12">
        <v>0</v>
      </c>
      <c r="O30" s="12">
        <v>1</v>
      </c>
      <c r="P30" s="12">
        <v>2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f t="shared" si="0"/>
        <v>38</v>
      </c>
    </row>
    <row r="31" spans="1:24">
      <c r="A31" s="15" t="s">
        <v>60</v>
      </c>
      <c r="B31" s="15" t="s">
        <v>61</v>
      </c>
      <c r="C31" s="15">
        <v>6586764.2999999998</v>
      </c>
      <c r="D31" s="15">
        <v>352329.3</v>
      </c>
      <c r="E31" s="12">
        <v>12</v>
      </c>
      <c r="F31" s="12">
        <v>0</v>
      </c>
      <c r="G31" s="12">
        <v>0</v>
      </c>
      <c r="H31" s="12">
        <v>7</v>
      </c>
      <c r="I31" s="14">
        <v>0</v>
      </c>
      <c r="J31" s="12">
        <v>0</v>
      </c>
      <c r="K31" s="12">
        <v>2</v>
      </c>
      <c r="L31" s="12">
        <v>10</v>
      </c>
      <c r="M31" s="12">
        <v>0</v>
      </c>
      <c r="N31" s="12">
        <v>1</v>
      </c>
      <c r="O31" s="12">
        <v>0</v>
      </c>
      <c r="P31" s="12">
        <v>5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f t="shared" si="0"/>
        <v>37</v>
      </c>
    </row>
    <row r="32" spans="1:24">
      <c r="A32" s="15" t="s">
        <v>62</v>
      </c>
      <c r="B32" s="15" t="s">
        <v>63</v>
      </c>
      <c r="C32" s="15">
        <v>6585790</v>
      </c>
      <c r="D32" s="15">
        <v>344014</v>
      </c>
      <c r="E32" s="12">
        <v>3</v>
      </c>
      <c r="F32" s="12">
        <v>0</v>
      </c>
      <c r="G32" s="12">
        <v>0</v>
      </c>
      <c r="H32" s="12">
        <v>2</v>
      </c>
      <c r="I32" s="12">
        <v>0</v>
      </c>
      <c r="J32" s="12">
        <v>0</v>
      </c>
      <c r="K32" s="12">
        <v>0</v>
      </c>
      <c r="L32" s="12">
        <v>6</v>
      </c>
      <c r="M32" s="12">
        <v>0</v>
      </c>
      <c r="N32" s="12">
        <v>2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f t="shared" si="0"/>
        <v>13</v>
      </c>
    </row>
    <row r="33" spans="1:25">
      <c r="A33" s="15" t="s">
        <v>64</v>
      </c>
      <c r="B33" s="15" t="s">
        <v>65</v>
      </c>
      <c r="C33" s="15">
        <v>6579240.2000000002</v>
      </c>
      <c r="D33" s="15">
        <v>341497.8</v>
      </c>
      <c r="E33" s="12">
        <v>7</v>
      </c>
      <c r="F33" s="12">
        <v>0</v>
      </c>
      <c r="G33" s="12">
        <v>0</v>
      </c>
      <c r="H33" s="12">
        <v>8</v>
      </c>
      <c r="I33" s="12">
        <v>0</v>
      </c>
      <c r="J33" s="12">
        <v>0</v>
      </c>
      <c r="K33" s="12">
        <v>0</v>
      </c>
      <c r="L33" s="12">
        <v>33</v>
      </c>
      <c r="M33" s="12">
        <v>0</v>
      </c>
      <c r="N33" s="12">
        <v>0</v>
      </c>
      <c r="O33" s="12">
        <v>3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f t="shared" si="0"/>
        <v>51</v>
      </c>
    </row>
    <row r="34" spans="1:25">
      <c r="A34" s="15" t="s">
        <v>66</v>
      </c>
      <c r="B34" s="15" t="s">
        <v>67</v>
      </c>
      <c r="C34" s="15">
        <v>6579158</v>
      </c>
      <c r="D34" s="15">
        <v>341781.4</v>
      </c>
      <c r="E34" s="12">
        <v>9</v>
      </c>
      <c r="F34" s="12">
        <v>1</v>
      </c>
      <c r="G34" s="12">
        <v>0</v>
      </c>
      <c r="H34" s="12">
        <v>8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1</v>
      </c>
      <c r="P34" s="12">
        <v>1</v>
      </c>
      <c r="Q34" s="12">
        <v>1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f t="shared" si="0"/>
        <v>21</v>
      </c>
    </row>
    <row r="35" spans="1:25">
      <c r="A35" s="15" t="s">
        <v>68</v>
      </c>
      <c r="B35" s="15" t="s">
        <v>69</v>
      </c>
      <c r="C35" s="15">
        <v>6579164.2999999998</v>
      </c>
      <c r="D35" s="15">
        <v>342054.5</v>
      </c>
      <c r="E35" s="12">
        <v>2</v>
      </c>
      <c r="F35" s="12">
        <v>2</v>
      </c>
      <c r="G35" s="12">
        <v>0</v>
      </c>
      <c r="H35" s="12">
        <v>4</v>
      </c>
      <c r="I35" s="12">
        <v>0</v>
      </c>
      <c r="J35" s="12">
        <v>0</v>
      </c>
      <c r="K35" s="12">
        <v>0</v>
      </c>
      <c r="L35" s="12">
        <v>8</v>
      </c>
      <c r="M35" s="12">
        <v>0</v>
      </c>
      <c r="N35" s="12">
        <v>0</v>
      </c>
      <c r="O35" s="12">
        <v>2</v>
      </c>
      <c r="P35" s="12">
        <v>0</v>
      </c>
      <c r="Q35" s="12">
        <v>1</v>
      </c>
      <c r="R35" s="12">
        <v>0</v>
      </c>
      <c r="S35" s="12">
        <v>0</v>
      </c>
      <c r="T35" s="12">
        <v>0</v>
      </c>
      <c r="U35" s="12">
        <v>1</v>
      </c>
      <c r="V35" s="12">
        <v>0</v>
      </c>
      <c r="W35" s="12">
        <v>0</v>
      </c>
      <c r="X35" s="12">
        <f t="shared" si="0"/>
        <v>20</v>
      </c>
    </row>
    <row r="36" spans="1:25">
      <c r="A36" s="15" t="s">
        <v>70</v>
      </c>
      <c r="B36" s="15" t="s">
        <v>71</v>
      </c>
      <c r="C36" s="15">
        <v>6579181</v>
      </c>
      <c r="D36" s="15">
        <v>342236.9</v>
      </c>
      <c r="E36" s="12">
        <v>7</v>
      </c>
      <c r="F36" s="12">
        <v>3</v>
      </c>
      <c r="G36" s="12">
        <v>0</v>
      </c>
      <c r="H36" s="12">
        <v>8</v>
      </c>
      <c r="I36" s="12">
        <v>0</v>
      </c>
      <c r="J36" s="12">
        <v>0</v>
      </c>
      <c r="K36" s="12">
        <v>0</v>
      </c>
      <c r="L36" s="12">
        <v>16</v>
      </c>
      <c r="M36" s="12">
        <v>0</v>
      </c>
      <c r="N36" s="12">
        <v>0</v>
      </c>
      <c r="O36" s="12">
        <v>3</v>
      </c>
      <c r="P36" s="12">
        <v>0</v>
      </c>
      <c r="Q36" s="12">
        <v>1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f t="shared" si="0"/>
        <v>38</v>
      </c>
    </row>
    <row r="37" spans="1:25">
      <c r="A37" s="15" t="s">
        <v>72</v>
      </c>
      <c r="B37" s="15" t="s">
        <v>73</v>
      </c>
      <c r="C37" s="15">
        <v>6579332.4000000004</v>
      </c>
      <c r="D37" s="15">
        <v>342206.7</v>
      </c>
      <c r="E37" s="12">
        <v>19</v>
      </c>
      <c r="F37" s="12">
        <v>1</v>
      </c>
      <c r="G37" s="12">
        <v>1</v>
      </c>
      <c r="H37" s="12">
        <v>10</v>
      </c>
      <c r="I37" s="12">
        <v>1</v>
      </c>
      <c r="J37" s="12">
        <v>0</v>
      </c>
      <c r="K37" s="12">
        <v>0</v>
      </c>
      <c r="L37" s="12">
        <v>30</v>
      </c>
      <c r="M37" s="12">
        <v>0</v>
      </c>
      <c r="N37" s="12">
        <v>0</v>
      </c>
      <c r="O37" s="12">
        <v>1</v>
      </c>
      <c r="P37" s="12">
        <v>2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f t="shared" si="0"/>
        <v>65</v>
      </c>
    </row>
    <row r="38" spans="1:25">
      <c r="A38" s="15" t="s">
        <v>74</v>
      </c>
      <c r="B38" s="15" t="s">
        <v>75</v>
      </c>
      <c r="C38" s="15">
        <v>6579319.7999999998</v>
      </c>
      <c r="D38" s="15">
        <v>342002.5</v>
      </c>
      <c r="E38" s="12">
        <v>6</v>
      </c>
      <c r="F38" s="12">
        <v>1</v>
      </c>
      <c r="G38" s="12">
        <v>0</v>
      </c>
      <c r="H38" s="12">
        <v>14</v>
      </c>
      <c r="I38" s="12">
        <v>0</v>
      </c>
      <c r="J38" s="12">
        <v>0</v>
      </c>
      <c r="K38" s="12">
        <v>0</v>
      </c>
      <c r="L38" s="12">
        <v>20</v>
      </c>
      <c r="M38" s="12">
        <v>0</v>
      </c>
      <c r="N38" s="12">
        <v>0</v>
      </c>
      <c r="O38" s="12">
        <v>3</v>
      </c>
      <c r="P38" s="12">
        <v>0</v>
      </c>
      <c r="Q38" s="12">
        <v>2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f t="shared" si="0"/>
        <v>46</v>
      </c>
    </row>
    <row r="39" spans="1:25">
      <c r="A39" s="15" t="s">
        <v>76</v>
      </c>
      <c r="B39" s="15" t="s">
        <v>77</v>
      </c>
      <c r="C39" s="15">
        <v>6579713.2000000002</v>
      </c>
      <c r="D39" s="15">
        <v>342412.4</v>
      </c>
      <c r="E39" s="12">
        <v>1</v>
      </c>
      <c r="F39" s="12">
        <v>0</v>
      </c>
      <c r="G39" s="12">
        <v>0</v>
      </c>
      <c r="H39" s="12">
        <v>1</v>
      </c>
      <c r="I39" s="12">
        <v>0</v>
      </c>
      <c r="J39" s="12">
        <v>0</v>
      </c>
      <c r="K39" s="12">
        <v>0</v>
      </c>
      <c r="L39" s="12">
        <v>1</v>
      </c>
      <c r="M39" s="12">
        <v>0</v>
      </c>
      <c r="N39" s="12">
        <v>0</v>
      </c>
      <c r="O39" s="12">
        <v>0</v>
      </c>
      <c r="P39" s="12">
        <v>1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f t="shared" si="0"/>
        <v>4</v>
      </c>
    </row>
    <row r="40" spans="1:25">
      <c r="A40" s="15" t="s">
        <v>78</v>
      </c>
      <c r="B40" s="15" t="s">
        <v>79</v>
      </c>
      <c r="C40" s="15">
        <v>6579763.5</v>
      </c>
      <c r="D40" s="15">
        <v>341592.9</v>
      </c>
      <c r="E40" s="12">
        <v>4</v>
      </c>
      <c r="F40" s="12">
        <v>1</v>
      </c>
      <c r="G40" s="12">
        <v>0</v>
      </c>
      <c r="H40" s="12">
        <v>6</v>
      </c>
      <c r="I40" s="12">
        <v>1</v>
      </c>
      <c r="J40" s="12">
        <v>0</v>
      </c>
      <c r="K40" s="12">
        <v>1</v>
      </c>
      <c r="L40" s="12">
        <v>7</v>
      </c>
      <c r="M40" s="12">
        <v>0</v>
      </c>
      <c r="N40" s="12">
        <v>0</v>
      </c>
      <c r="O40" s="12">
        <v>0</v>
      </c>
      <c r="P40" s="12">
        <v>1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f t="shared" si="0"/>
        <v>21</v>
      </c>
    </row>
    <row r="41" spans="1:25">
      <c r="A41" s="15" t="s">
        <v>80</v>
      </c>
      <c r="B41" s="15" t="s">
        <v>81</v>
      </c>
      <c r="C41" s="15">
        <v>6579431</v>
      </c>
      <c r="D41" s="15">
        <v>342544</v>
      </c>
      <c r="E41" s="12">
        <v>2</v>
      </c>
      <c r="F41" s="12">
        <v>0</v>
      </c>
      <c r="G41" s="12">
        <v>0</v>
      </c>
      <c r="H41" s="12">
        <v>14</v>
      </c>
      <c r="I41" s="12">
        <v>0</v>
      </c>
      <c r="J41" s="12">
        <v>0</v>
      </c>
      <c r="K41" s="12">
        <v>0</v>
      </c>
      <c r="L41" s="12">
        <v>13</v>
      </c>
      <c r="M41" s="12">
        <v>0</v>
      </c>
      <c r="N41" s="12">
        <v>0</v>
      </c>
      <c r="O41" s="12">
        <v>4</v>
      </c>
      <c r="P41" s="12">
        <v>0</v>
      </c>
      <c r="Q41" s="12">
        <v>1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f t="shared" si="0"/>
        <v>34</v>
      </c>
    </row>
    <row r="42" spans="1:25">
      <c r="A42" s="15" t="s">
        <v>82</v>
      </c>
      <c r="B42" s="15" t="s">
        <v>83</v>
      </c>
      <c r="C42" s="15">
        <v>6585234.5999999996</v>
      </c>
      <c r="D42" s="15">
        <v>343449.9</v>
      </c>
      <c r="E42" s="12">
        <v>4</v>
      </c>
      <c r="F42" s="12">
        <v>0</v>
      </c>
      <c r="G42" s="12">
        <v>0</v>
      </c>
      <c r="H42" s="12">
        <v>2</v>
      </c>
      <c r="I42" s="12">
        <v>0</v>
      </c>
      <c r="J42" s="12">
        <v>0</v>
      </c>
      <c r="K42" s="12">
        <v>0</v>
      </c>
      <c r="L42" s="12">
        <v>4</v>
      </c>
      <c r="M42" s="12">
        <v>0</v>
      </c>
      <c r="N42" s="12">
        <v>3</v>
      </c>
      <c r="O42" s="12">
        <v>0</v>
      </c>
      <c r="P42" s="12">
        <v>0</v>
      </c>
      <c r="Q42" s="12">
        <v>1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f t="shared" si="0"/>
        <v>14</v>
      </c>
    </row>
    <row r="43" spans="1:25">
      <c r="A43" s="15" t="s">
        <v>84</v>
      </c>
      <c r="B43" s="15" t="s">
        <v>85</v>
      </c>
      <c r="C43" s="15">
        <v>6579525.4000000004</v>
      </c>
      <c r="D43" s="15">
        <v>341986.3</v>
      </c>
      <c r="E43" s="12">
        <v>0</v>
      </c>
      <c r="F43" s="12">
        <v>0</v>
      </c>
      <c r="G43" s="12">
        <v>0</v>
      </c>
      <c r="H43" s="12">
        <v>13</v>
      </c>
      <c r="I43" s="12">
        <v>1</v>
      </c>
      <c r="J43" s="12">
        <v>0</v>
      </c>
      <c r="K43" s="12">
        <v>0</v>
      </c>
      <c r="L43" s="12">
        <v>19</v>
      </c>
      <c r="M43" s="12">
        <v>0</v>
      </c>
      <c r="N43" s="12">
        <v>0</v>
      </c>
      <c r="O43" s="12">
        <v>0</v>
      </c>
      <c r="P43" s="12">
        <v>1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f t="shared" si="0"/>
        <v>34</v>
      </c>
    </row>
    <row r="44" spans="1:25" s="21" customFormat="1">
      <c r="A44" s="20"/>
      <c r="B44" s="20"/>
      <c r="C44" s="20"/>
      <c r="D44" s="20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</row>
    <row r="45" spans="1:25">
      <c r="Y45" s="14"/>
    </row>
    <row r="46" spans="1:25" s="17" customFormat="1">
      <c r="A46" s="23"/>
      <c r="B46" s="23"/>
      <c r="C46" s="15"/>
      <c r="D46" s="15"/>
    </row>
  </sheetData>
  <mergeCells count="8">
    <mergeCell ref="L1:P1"/>
    <mergeCell ref="R1:W1"/>
    <mergeCell ref="A1:A2"/>
    <mergeCell ref="B1:B2"/>
    <mergeCell ref="C1:C2"/>
    <mergeCell ref="D1:D2"/>
    <mergeCell ref="E1:H1"/>
    <mergeCell ref="I1:K1"/>
  </mergeCells>
  <phoneticPr fontId="2" type="noConversion"/>
  <printOptions gridLines="1"/>
  <pageMargins left="0.7" right="0.7" top="0.75" bottom="0.75" header="0.3" footer="0.3"/>
  <pageSetup paperSize="17" scale="90" orientation="landscape" r:id="rId1"/>
  <headerFooter>
    <oddFooter>Page &amp;P of &amp;N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Y46"/>
  <sheetViews>
    <sheetView workbookViewId="0">
      <pane ySplit="2" topLeftCell="A3" activePane="bottomLeft" state="frozen"/>
      <selection pane="bottomLeft" activeCell="A3" sqref="A3"/>
    </sheetView>
  </sheetViews>
  <sheetFormatPr defaultRowHeight="15"/>
  <cols>
    <col min="1" max="1" width="12" style="15" customWidth="1"/>
    <col min="2" max="2" width="11.42578125" style="15" customWidth="1"/>
    <col min="3" max="4" width="10.28515625" style="15" customWidth="1"/>
    <col min="5" max="5" width="9.28515625" style="12" customWidth="1"/>
    <col min="6" max="6" width="8.85546875" style="12" customWidth="1"/>
    <col min="7" max="7" width="7.7109375" style="12" customWidth="1"/>
    <col min="8" max="8" width="8.85546875" style="12" bestFit="1" customWidth="1"/>
    <col min="9" max="9" width="13.5703125" style="12" customWidth="1"/>
    <col min="10" max="10" width="10.7109375" style="12" customWidth="1"/>
    <col min="11" max="12" width="9.28515625" style="12" customWidth="1"/>
    <col min="13" max="13" width="11.7109375" style="12" customWidth="1"/>
    <col min="14" max="14" width="8.85546875" style="12" customWidth="1"/>
    <col min="15" max="15" width="9.42578125" style="12" customWidth="1"/>
    <col min="16" max="16" width="11.42578125" style="12" customWidth="1"/>
    <col min="17" max="17" width="7.28515625" style="12" customWidth="1"/>
    <col min="18" max="19" width="8.5703125" style="12" customWidth="1"/>
    <col min="20" max="20" width="11.140625" style="12" customWidth="1"/>
    <col min="21" max="21" width="5.85546875" style="12" customWidth="1"/>
    <col min="22" max="22" width="8.5703125" style="12" customWidth="1"/>
    <col min="23" max="23" width="18.28515625" style="12" customWidth="1"/>
    <col min="24" max="24" width="8.7109375" style="12" customWidth="1"/>
    <col min="25" max="25" width="9.42578125" style="13" customWidth="1"/>
    <col min="26" max="16384" width="9.140625" style="14"/>
  </cols>
  <sheetData>
    <row r="1" spans="1:24" ht="19.5" thickBot="1">
      <c r="A1" s="27" t="s">
        <v>92</v>
      </c>
      <c r="B1" s="27" t="s">
        <v>93</v>
      </c>
      <c r="C1" s="29" t="s">
        <v>2</v>
      </c>
      <c r="D1" s="29" t="s">
        <v>3</v>
      </c>
      <c r="E1" s="24" t="s">
        <v>96</v>
      </c>
      <c r="F1" s="25"/>
      <c r="G1" s="25"/>
      <c r="H1" s="26"/>
      <c r="I1" s="24" t="s">
        <v>86</v>
      </c>
      <c r="J1" s="25"/>
      <c r="K1" s="26"/>
      <c r="L1" s="24" t="s">
        <v>97</v>
      </c>
      <c r="M1" s="25"/>
      <c r="N1" s="25"/>
      <c r="O1" s="25"/>
      <c r="P1" s="26"/>
      <c r="R1" s="24" t="s">
        <v>91</v>
      </c>
      <c r="S1" s="25"/>
      <c r="T1" s="25"/>
      <c r="U1" s="25"/>
      <c r="V1" s="25"/>
      <c r="W1" s="26"/>
    </row>
    <row r="2" spans="1:24" s="7" customFormat="1" ht="65.25" customHeight="1" thickBot="1">
      <c r="A2" s="28"/>
      <c r="B2" s="28"/>
      <c r="C2" s="30"/>
      <c r="D2" s="30"/>
      <c r="E2" s="8" t="s">
        <v>109</v>
      </c>
      <c r="F2" s="9" t="s">
        <v>94</v>
      </c>
      <c r="G2" s="9" t="s">
        <v>87</v>
      </c>
      <c r="H2" s="10" t="s">
        <v>95</v>
      </c>
      <c r="I2" s="8" t="s">
        <v>98</v>
      </c>
      <c r="J2" s="9" t="s">
        <v>99</v>
      </c>
      <c r="K2" s="10" t="s">
        <v>100</v>
      </c>
      <c r="L2" s="8" t="s">
        <v>102</v>
      </c>
      <c r="M2" s="9" t="s">
        <v>88</v>
      </c>
      <c r="N2" s="9" t="s">
        <v>101</v>
      </c>
      <c r="O2" s="9" t="s">
        <v>110</v>
      </c>
      <c r="P2" s="10" t="s">
        <v>89</v>
      </c>
      <c r="Q2" s="11" t="s">
        <v>90</v>
      </c>
      <c r="R2" s="8" t="s">
        <v>103</v>
      </c>
      <c r="S2" s="9" t="s">
        <v>111</v>
      </c>
      <c r="T2" s="9" t="s">
        <v>105</v>
      </c>
      <c r="U2" s="9" t="s">
        <v>106</v>
      </c>
      <c r="V2" s="9" t="s">
        <v>107</v>
      </c>
      <c r="W2" s="10" t="s">
        <v>108</v>
      </c>
      <c r="X2" s="11" t="s">
        <v>0</v>
      </c>
    </row>
    <row r="3" spans="1:24" s="13" customFormat="1">
      <c r="A3" s="15" t="s">
        <v>4</v>
      </c>
      <c r="B3" s="15" t="s">
        <v>5</v>
      </c>
      <c r="C3" s="15">
        <v>6581465</v>
      </c>
      <c r="D3" s="15">
        <v>346600</v>
      </c>
      <c r="E3" s="12">
        <f>22+14</f>
        <v>36</v>
      </c>
      <c r="F3" s="12">
        <v>2</v>
      </c>
      <c r="G3" s="12">
        <v>2</v>
      </c>
      <c r="H3" s="12">
        <f>18+23</f>
        <v>41</v>
      </c>
      <c r="I3" s="12">
        <v>0</v>
      </c>
      <c r="J3" s="12">
        <v>0</v>
      </c>
      <c r="K3" s="12">
        <v>2</v>
      </c>
      <c r="L3" s="12">
        <f>20+19</f>
        <v>39</v>
      </c>
      <c r="M3" s="12">
        <v>0</v>
      </c>
      <c r="N3" s="12">
        <v>2</v>
      </c>
      <c r="O3" s="12">
        <v>0</v>
      </c>
      <c r="P3" s="12">
        <v>2</v>
      </c>
      <c r="Q3" s="12">
        <v>3</v>
      </c>
      <c r="R3" s="12">
        <v>0</v>
      </c>
      <c r="S3" s="12">
        <v>0</v>
      </c>
      <c r="T3" s="12">
        <v>0</v>
      </c>
      <c r="U3" s="12">
        <v>0</v>
      </c>
      <c r="V3" s="12">
        <v>0</v>
      </c>
      <c r="W3" s="12">
        <v>0</v>
      </c>
      <c r="X3" s="12">
        <f>SUM(E3:W3)</f>
        <v>129</v>
      </c>
    </row>
    <row r="4" spans="1:24" s="13" customFormat="1">
      <c r="A4" s="15" t="s">
        <v>6</v>
      </c>
      <c r="B4" s="15" t="s">
        <v>7</v>
      </c>
      <c r="C4" s="15">
        <v>6581542.75</v>
      </c>
      <c r="D4" s="15">
        <v>347517.37</v>
      </c>
      <c r="E4" s="12">
        <f>27+39+23</f>
        <v>89</v>
      </c>
      <c r="F4" s="12">
        <v>9</v>
      </c>
      <c r="G4" s="12">
        <v>2</v>
      </c>
      <c r="H4" s="12">
        <f>37+20+12+3</f>
        <v>72</v>
      </c>
      <c r="I4" s="12">
        <v>0</v>
      </c>
      <c r="J4" s="12">
        <v>0</v>
      </c>
      <c r="K4" s="12">
        <v>0</v>
      </c>
      <c r="L4" s="12">
        <f>23+33+25</f>
        <v>81</v>
      </c>
      <c r="M4" s="12">
        <v>0</v>
      </c>
      <c r="N4" s="12">
        <v>2</v>
      </c>
      <c r="O4" s="12">
        <v>7</v>
      </c>
      <c r="P4" s="12">
        <v>6</v>
      </c>
      <c r="Q4" s="12">
        <v>5</v>
      </c>
      <c r="R4" s="12">
        <v>0</v>
      </c>
      <c r="S4" s="12">
        <v>0</v>
      </c>
      <c r="T4" s="12">
        <v>0</v>
      </c>
      <c r="U4" s="12">
        <v>0</v>
      </c>
      <c r="V4" s="12">
        <v>0</v>
      </c>
      <c r="W4" s="12">
        <v>0</v>
      </c>
      <c r="X4" s="12">
        <f t="shared" ref="X4:X43" si="0">SUM(E4:W4)</f>
        <v>273</v>
      </c>
    </row>
    <row r="5" spans="1:24" s="13" customFormat="1">
      <c r="A5" s="15" t="s">
        <v>8</v>
      </c>
      <c r="B5" s="15" t="s">
        <v>9</v>
      </c>
      <c r="C5" s="15">
        <v>6580994.7999999998</v>
      </c>
      <c r="D5" s="15">
        <v>345963.6</v>
      </c>
      <c r="E5" s="12">
        <f>26+27+27</f>
        <v>80</v>
      </c>
      <c r="F5" s="12">
        <v>6</v>
      </c>
      <c r="G5" s="12">
        <v>0</v>
      </c>
      <c r="H5" s="12">
        <f>27+24+32</f>
        <v>83</v>
      </c>
      <c r="I5" s="12">
        <v>0</v>
      </c>
      <c r="J5" s="12">
        <v>0</v>
      </c>
      <c r="K5" s="12">
        <v>0</v>
      </c>
      <c r="L5" s="12">
        <f>31+69+59</f>
        <v>159</v>
      </c>
      <c r="M5" s="12">
        <v>0</v>
      </c>
      <c r="N5" s="12">
        <v>3</v>
      </c>
      <c r="O5" s="12">
        <v>5</v>
      </c>
      <c r="P5" s="12">
        <v>0</v>
      </c>
      <c r="Q5" s="12">
        <v>3</v>
      </c>
      <c r="R5" s="12">
        <v>0</v>
      </c>
      <c r="S5" s="12">
        <v>0</v>
      </c>
      <c r="T5" s="12">
        <v>0</v>
      </c>
      <c r="U5" s="12">
        <v>0</v>
      </c>
      <c r="V5" s="12">
        <v>0</v>
      </c>
      <c r="W5" s="12">
        <v>0</v>
      </c>
      <c r="X5" s="12">
        <f t="shared" si="0"/>
        <v>339</v>
      </c>
    </row>
    <row r="6" spans="1:24" s="13" customFormat="1">
      <c r="A6" s="15" t="s">
        <v>10</v>
      </c>
      <c r="B6" s="15" t="s">
        <v>11</v>
      </c>
      <c r="C6" s="15">
        <v>6583705.7999999998</v>
      </c>
      <c r="D6" s="15">
        <v>351451.9</v>
      </c>
      <c r="E6" s="12">
        <v>21</v>
      </c>
      <c r="F6" s="12">
        <v>5</v>
      </c>
      <c r="G6" s="12">
        <v>4</v>
      </c>
      <c r="H6" s="12">
        <f>22+28+3+1</f>
        <v>54</v>
      </c>
      <c r="I6" s="12">
        <v>0</v>
      </c>
      <c r="J6" s="12">
        <v>0</v>
      </c>
      <c r="K6" s="12">
        <v>9</v>
      </c>
      <c r="L6" s="12">
        <f>36+35+2</f>
        <v>73</v>
      </c>
      <c r="M6" s="12">
        <v>1</v>
      </c>
      <c r="N6" s="12">
        <v>0</v>
      </c>
      <c r="O6" s="12">
        <v>6</v>
      </c>
      <c r="P6" s="12">
        <v>3</v>
      </c>
      <c r="Q6" s="12">
        <v>5</v>
      </c>
      <c r="R6" s="12">
        <v>0</v>
      </c>
      <c r="S6" s="12">
        <v>0</v>
      </c>
      <c r="T6" s="12">
        <v>0</v>
      </c>
      <c r="U6" s="12">
        <v>0</v>
      </c>
      <c r="V6" s="12">
        <v>0</v>
      </c>
      <c r="W6" s="12">
        <v>0</v>
      </c>
      <c r="X6" s="12">
        <f t="shared" si="0"/>
        <v>181</v>
      </c>
    </row>
    <row r="7" spans="1:24" s="13" customFormat="1">
      <c r="A7" s="15" t="s">
        <v>12</v>
      </c>
      <c r="B7" s="15" t="s">
        <v>13</v>
      </c>
      <c r="C7" s="15">
        <v>6585327.2000000002</v>
      </c>
      <c r="D7" s="15">
        <v>351107.1</v>
      </c>
      <c r="E7" s="12">
        <f>8+13+2</f>
        <v>23</v>
      </c>
      <c r="F7" s="12">
        <v>2</v>
      </c>
      <c r="G7" s="12">
        <v>4</v>
      </c>
      <c r="H7" s="12">
        <f>16+24</f>
        <v>40</v>
      </c>
      <c r="I7" s="12">
        <v>0</v>
      </c>
      <c r="J7" s="12">
        <v>0</v>
      </c>
      <c r="K7" s="12">
        <v>4</v>
      </c>
      <c r="L7" s="12">
        <v>44</v>
      </c>
      <c r="M7" s="12">
        <v>0</v>
      </c>
      <c r="N7" s="12">
        <v>0</v>
      </c>
      <c r="O7" s="12">
        <v>4</v>
      </c>
      <c r="P7" s="12">
        <f>16</f>
        <v>16</v>
      </c>
      <c r="Q7" s="12">
        <v>10</v>
      </c>
      <c r="R7" s="12">
        <v>0</v>
      </c>
      <c r="S7" s="12">
        <v>0</v>
      </c>
      <c r="T7" s="12">
        <v>0</v>
      </c>
      <c r="U7" s="12">
        <v>0</v>
      </c>
      <c r="V7" s="12">
        <v>0</v>
      </c>
      <c r="W7" s="12">
        <v>0</v>
      </c>
      <c r="X7" s="12">
        <f t="shared" si="0"/>
        <v>147</v>
      </c>
    </row>
    <row r="8" spans="1:24" s="13" customFormat="1">
      <c r="A8" s="15" t="s">
        <v>14</v>
      </c>
      <c r="B8" s="15" t="s">
        <v>15</v>
      </c>
      <c r="C8" s="15">
        <v>6580536.7999999998</v>
      </c>
      <c r="D8" s="15">
        <v>347328.3</v>
      </c>
      <c r="E8" s="12">
        <v>25</v>
      </c>
      <c r="F8" s="12">
        <v>0</v>
      </c>
      <c r="G8" s="12">
        <v>0</v>
      </c>
      <c r="H8" s="12">
        <v>30</v>
      </c>
      <c r="I8" s="12">
        <v>0</v>
      </c>
      <c r="J8" s="12">
        <v>0</v>
      </c>
      <c r="K8" s="12">
        <v>0</v>
      </c>
      <c r="L8" s="12">
        <v>23</v>
      </c>
      <c r="M8" s="12">
        <v>0</v>
      </c>
      <c r="N8" s="12">
        <v>1</v>
      </c>
      <c r="O8" s="12">
        <v>1</v>
      </c>
      <c r="P8" s="12">
        <v>0</v>
      </c>
      <c r="Q8" s="12">
        <v>15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2">
        <v>0</v>
      </c>
      <c r="X8" s="12">
        <f t="shared" si="0"/>
        <v>95</v>
      </c>
    </row>
    <row r="9" spans="1:24" s="13" customFormat="1">
      <c r="A9" s="15" t="s">
        <v>16</v>
      </c>
      <c r="B9" s="15" t="s">
        <v>17</v>
      </c>
      <c r="C9" s="15">
        <v>6587928.7000000002</v>
      </c>
      <c r="D9" s="15">
        <v>350635.4</v>
      </c>
      <c r="E9" s="12">
        <f>16+23</f>
        <v>39</v>
      </c>
      <c r="F9" s="12">
        <v>0</v>
      </c>
      <c r="G9" s="12">
        <v>0</v>
      </c>
      <c r="H9" s="12">
        <f>10+11+8</f>
        <v>29</v>
      </c>
      <c r="I9" s="12">
        <v>0</v>
      </c>
      <c r="J9" s="12">
        <v>0</v>
      </c>
      <c r="K9" s="12">
        <v>0</v>
      </c>
      <c r="L9" s="12">
        <f>62+95+76</f>
        <v>233</v>
      </c>
      <c r="M9" s="12">
        <v>0</v>
      </c>
      <c r="N9" s="12">
        <v>2</v>
      </c>
      <c r="O9" s="12">
        <v>0</v>
      </c>
      <c r="P9" s="12">
        <v>0</v>
      </c>
      <c r="Q9" s="12">
        <f>12+19</f>
        <v>31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2">
        <v>0</v>
      </c>
      <c r="X9" s="12">
        <f t="shared" si="0"/>
        <v>334</v>
      </c>
    </row>
    <row r="10" spans="1:24" s="13" customFormat="1">
      <c r="A10" s="15" t="s">
        <v>18</v>
      </c>
      <c r="B10" s="15" t="s">
        <v>19</v>
      </c>
      <c r="C10" s="15">
        <v>6589195.0999999996</v>
      </c>
      <c r="D10" s="15">
        <v>351269.1</v>
      </c>
      <c r="E10" s="12">
        <f>15+19+17</f>
        <v>51</v>
      </c>
      <c r="F10" s="12">
        <v>4</v>
      </c>
      <c r="G10" s="12">
        <v>0</v>
      </c>
      <c r="H10" s="12">
        <f>20+17+8</f>
        <v>45</v>
      </c>
      <c r="I10" s="12">
        <v>0</v>
      </c>
      <c r="J10" s="12">
        <v>0</v>
      </c>
      <c r="K10" s="12">
        <v>4</v>
      </c>
      <c r="L10" s="12">
        <f>44+48+27</f>
        <v>119</v>
      </c>
      <c r="M10" s="12">
        <v>0</v>
      </c>
      <c r="N10" s="12">
        <v>4</v>
      </c>
      <c r="O10" s="12">
        <v>1</v>
      </c>
      <c r="P10" s="12">
        <f>25+15+10</f>
        <v>50</v>
      </c>
      <c r="Q10" s="12">
        <v>8</v>
      </c>
      <c r="R10" s="12">
        <v>0</v>
      </c>
      <c r="S10" s="12">
        <v>0</v>
      </c>
      <c r="T10" s="12">
        <v>1</v>
      </c>
      <c r="U10" s="12">
        <v>0</v>
      </c>
      <c r="V10" s="12">
        <v>1</v>
      </c>
      <c r="W10" s="12">
        <v>0</v>
      </c>
      <c r="X10" s="12">
        <f t="shared" si="0"/>
        <v>288</v>
      </c>
    </row>
    <row r="11" spans="1:24" s="13" customFormat="1">
      <c r="A11" s="15" t="s">
        <v>20</v>
      </c>
      <c r="B11" s="15" t="s">
        <v>21</v>
      </c>
      <c r="C11" s="15">
        <v>6589311.4000000004</v>
      </c>
      <c r="D11" s="15">
        <v>348240.8</v>
      </c>
      <c r="E11" s="12">
        <f>22+22+4+11</f>
        <v>59</v>
      </c>
      <c r="F11" s="12">
        <v>12</v>
      </c>
      <c r="G11" s="12">
        <v>0</v>
      </c>
      <c r="H11" s="12">
        <f>20+7+4</f>
        <v>31</v>
      </c>
      <c r="I11" s="12">
        <v>0</v>
      </c>
      <c r="J11" s="12">
        <v>0</v>
      </c>
      <c r="K11" s="12">
        <v>1</v>
      </c>
      <c r="L11" s="12">
        <v>70</v>
      </c>
      <c r="M11" s="12">
        <v>4</v>
      </c>
      <c r="N11" s="12">
        <v>50</v>
      </c>
      <c r="O11" s="12">
        <v>7</v>
      </c>
      <c r="P11" s="12">
        <v>0</v>
      </c>
      <c r="Q11" s="12">
        <v>4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f t="shared" si="0"/>
        <v>238</v>
      </c>
    </row>
    <row r="12" spans="1:24" s="13" customFormat="1">
      <c r="A12" s="15" t="s">
        <v>22</v>
      </c>
      <c r="B12" s="15" t="s">
        <v>23</v>
      </c>
      <c r="C12" s="15">
        <v>6589480.5999999996</v>
      </c>
      <c r="D12" s="15">
        <v>348282.9</v>
      </c>
      <c r="E12" s="12">
        <v>34</v>
      </c>
      <c r="F12" s="12">
        <v>15</v>
      </c>
      <c r="G12" s="12">
        <v>0</v>
      </c>
      <c r="H12" s="12">
        <f>50+38</f>
        <v>88</v>
      </c>
      <c r="I12" s="12">
        <v>0</v>
      </c>
      <c r="J12" s="12">
        <v>0</v>
      </c>
      <c r="K12" s="12">
        <v>0</v>
      </c>
      <c r="L12" s="12">
        <f>23+23</f>
        <v>46</v>
      </c>
      <c r="M12" s="12">
        <v>0</v>
      </c>
      <c r="N12" s="12">
        <v>4</v>
      </c>
      <c r="O12" s="12">
        <v>0</v>
      </c>
      <c r="P12" s="12">
        <f>9</f>
        <v>9</v>
      </c>
      <c r="Q12" s="12">
        <f>11</f>
        <v>11</v>
      </c>
      <c r="R12" s="12">
        <v>0</v>
      </c>
      <c r="S12" s="12">
        <v>0</v>
      </c>
      <c r="T12" s="12">
        <v>0</v>
      </c>
      <c r="U12" s="12">
        <v>1</v>
      </c>
      <c r="V12" s="12">
        <v>0</v>
      </c>
      <c r="W12" s="12">
        <v>0</v>
      </c>
      <c r="X12" s="12">
        <f t="shared" si="0"/>
        <v>208</v>
      </c>
    </row>
    <row r="13" spans="1:24" s="13" customFormat="1">
      <c r="A13" s="15" t="s">
        <v>24</v>
      </c>
      <c r="B13" s="15" t="s">
        <v>25</v>
      </c>
      <c r="C13" s="15">
        <v>658422.9</v>
      </c>
      <c r="D13" s="15">
        <v>34474.6</v>
      </c>
      <c r="E13" s="12">
        <v>28</v>
      </c>
      <c r="F13" s="12">
        <v>6</v>
      </c>
      <c r="G13" s="12">
        <v>0</v>
      </c>
      <c r="H13" s="12">
        <v>40</v>
      </c>
      <c r="I13" s="12">
        <v>0</v>
      </c>
      <c r="J13" s="12">
        <v>0</v>
      </c>
      <c r="K13" s="12">
        <v>22</v>
      </c>
      <c r="L13" s="12">
        <f>20+39</f>
        <v>59</v>
      </c>
      <c r="M13" s="12">
        <v>0</v>
      </c>
      <c r="N13" s="12">
        <v>0</v>
      </c>
      <c r="O13" s="12">
        <v>10</v>
      </c>
      <c r="P13" s="12">
        <v>8</v>
      </c>
      <c r="Q13" s="12">
        <v>10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f t="shared" si="0"/>
        <v>183</v>
      </c>
    </row>
    <row r="14" spans="1:24" s="13" customFormat="1">
      <c r="A14" s="15" t="s">
        <v>26</v>
      </c>
      <c r="B14" s="15" t="s">
        <v>27</v>
      </c>
      <c r="C14" s="15">
        <v>6584573.5</v>
      </c>
      <c r="D14" s="15">
        <v>344348.6</v>
      </c>
      <c r="E14" s="12">
        <v>15</v>
      </c>
      <c r="F14" s="12">
        <v>3</v>
      </c>
      <c r="G14" s="12">
        <v>0</v>
      </c>
      <c r="H14" s="12">
        <f>26</f>
        <v>26</v>
      </c>
      <c r="I14" s="12">
        <v>0</v>
      </c>
      <c r="J14" s="12">
        <v>0</v>
      </c>
      <c r="K14" s="12">
        <v>0</v>
      </c>
      <c r="L14" s="12">
        <f>36+27</f>
        <v>63</v>
      </c>
      <c r="M14" s="12">
        <v>0</v>
      </c>
      <c r="N14" s="12">
        <f>19+17</f>
        <v>36</v>
      </c>
      <c r="O14" s="12">
        <v>2</v>
      </c>
      <c r="P14" s="12">
        <v>2</v>
      </c>
      <c r="Q14" s="12">
        <v>5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f t="shared" si="0"/>
        <v>152</v>
      </c>
    </row>
    <row r="15" spans="1:24" s="13" customFormat="1">
      <c r="A15" s="15" t="s">
        <v>28</v>
      </c>
      <c r="B15" s="15" t="s">
        <v>29</v>
      </c>
      <c r="C15" s="15">
        <v>6584288.4000000004</v>
      </c>
      <c r="D15" s="15">
        <v>344008.5</v>
      </c>
      <c r="E15" s="12">
        <v>16</v>
      </c>
      <c r="F15" s="12">
        <v>3</v>
      </c>
      <c r="G15" s="12">
        <v>0</v>
      </c>
      <c r="H15" s="12">
        <f>22+25</f>
        <v>47</v>
      </c>
      <c r="I15" s="12">
        <v>0</v>
      </c>
      <c r="J15" s="12">
        <v>0</v>
      </c>
      <c r="K15" s="12">
        <v>9</v>
      </c>
      <c r="L15" s="12">
        <f>24+14</f>
        <v>38</v>
      </c>
      <c r="M15" s="12">
        <v>0</v>
      </c>
      <c r="N15" s="12">
        <v>4</v>
      </c>
      <c r="O15" s="12">
        <v>2</v>
      </c>
      <c r="P15" s="12">
        <v>2</v>
      </c>
      <c r="Q15" s="12">
        <v>7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f t="shared" si="0"/>
        <v>128</v>
      </c>
    </row>
    <row r="16" spans="1:24" s="13" customFormat="1">
      <c r="A16" s="15" t="s">
        <v>30</v>
      </c>
      <c r="B16" s="15" t="s">
        <v>31</v>
      </c>
      <c r="C16" s="15">
        <v>6585058.0199999996</v>
      </c>
      <c r="D16" s="15">
        <v>344011.89</v>
      </c>
      <c r="E16" s="12">
        <f>14+9</f>
        <v>23</v>
      </c>
      <c r="F16" s="12">
        <v>6</v>
      </c>
      <c r="G16" s="12">
        <v>0</v>
      </c>
      <c r="H16" s="12">
        <f>21+23</f>
        <v>44</v>
      </c>
      <c r="I16" s="12">
        <v>0</v>
      </c>
      <c r="J16" s="12">
        <v>0</v>
      </c>
      <c r="K16" s="12">
        <v>3</v>
      </c>
      <c r="L16" s="12">
        <f>32+27+1</f>
        <v>60</v>
      </c>
      <c r="M16" s="12">
        <v>0</v>
      </c>
      <c r="N16" s="12">
        <v>6</v>
      </c>
      <c r="O16" s="12">
        <v>5</v>
      </c>
      <c r="P16" s="12">
        <v>1</v>
      </c>
      <c r="Q16" s="12">
        <v>7</v>
      </c>
      <c r="R16" s="12">
        <v>1</v>
      </c>
      <c r="S16" s="12">
        <v>0</v>
      </c>
      <c r="T16" s="12">
        <v>0</v>
      </c>
      <c r="U16" s="12">
        <v>0</v>
      </c>
      <c r="V16" s="12">
        <v>1</v>
      </c>
      <c r="W16" s="12">
        <v>0</v>
      </c>
      <c r="X16" s="12">
        <f t="shared" si="0"/>
        <v>157</v>
      </c>
    </row>
    <row r="17" spans="1:24" s="13" customFormat="1">
      <c r="A17" s="15" t="s">
        <v>32</v>
      </c>
      <c r="B17" s="15" t="s">
        <v>33</v>
      </c>
      <c r="C17" s="15">
        <v>6585058.0199999996</v>
      </c>
      <c r="D17" s="15">
        <v>344011.89</v>
      </c>
      <c r="E17" s="12">
        <f>13</f>
        <v>13</v>
      </c>
      <c r="F17" s="12">
        <v>6</v>
      </c>
      <c r="G17" s="12">
        <v>0</v>
      </c>
      <c r="H17" s="12">
        <f>16+9</f>
        <v>25</v>
      </c>
      <c r="I17" s="12">
        <v>0</v>
      </c>
      <c r="J17" s="12">
        <v>0</v>
      </c>
      <c r="K17" s="12">
        <v>7</v>
      </c>
      <c r="L17" s="12">
        <v>52</v>
      </c>
      <c r="M17" s="12">
        <v>0</v>
      </c>
      <c r="N17" s="12">
        <v>0</v>
      </c>
      <c r="O17" s="12">
        <f>7</f>
        <v>7</v>
      </c>
      <c r="P17" s="12">
        <v>1</v>
      </c>
      <c r="Q17" s="12">
        <v>4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1</v>
      </c>
      <c r="X17" s="12">
        <f t="shared" si="0"/>
        <v>116</v>
      </c>
    </row>
    <row r="18" spans="1:24">
      <c r="A18" s="15" t="s">
        <v>34</v>
      </c>
      <c r="B18" s="15" t="s">
        <v>35</v>
      </c>
      <c r="C18" s="15">
        <v>6584577.7000000002</v>
      </c>
      <c r="D18" s="15">
        <v>343202.7</v>
      </c>
      <c r="E18" s="12">
        <v>13</v>
      </c>
      <c r="F18" s="12">
        <v>1</v>
      </c>
      <c r="G18" s="12">
        <v>0</v>
      </c>
      <c r="H18" s="12">
        <v>30</v>
      </c>
      <c r="I18" s="12">
        <v>0</v>
      </c>
      <c r="J18" s="12">
        <v>0</v>
      </c>
      <c r="K18" s="12">
        <v>17</v>
      </c>
      <c r="L18" s="12">
        <v>21</v>
      </c>
      <c r="M18" s="12">
        <v>0</v>
      </c>
      <c r="N18" s="12">
        <v>0</v>
      </c>
      <c r="O18" s="12">
        <v>6</v>
      </c>
      <c r="P18" s="12">
        <v>4</v>
      </c>
      <c r="Q18" s="12">
        <v>4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f t="shared" si="0"/>
        <v>96</v>
      </c>
    </row>
    <row r="19" spans="1:24">
      <c r="A19" s="15" t="s">
        <v>36</v>
      </c>
      <c r="B19" s="15" t="s">
        <v>37</v>
      </c>
      <c r="C19" s="15">
        <v>6584210.9000000004</v>
      </c>
      <c r="D19" s="15">
        <v>342756.7</v>
      </c>
      <c r="E19" s="12">
        <f>9+11</f>
        <v>20</v>
      </c>
      <c r="F19" s="12">
        <v>6</v>
      </c>
      <c r="G19" s="12">
        <v>0</v>
      </c>
      <c r="H19" s="12">
        <v>26</v>
      </c>
      <c r="I19" s="12">
        <v>0</v>
      </c>
      <c r="J19" s="12">
        <v>0</v>
      </c>
      <c r="K19" s="12">
        <f>11+4+32</f>
        <v>47</v>
      </c>
      <c r="L19" s="12">
        <f>31+8</f>
        <v>39</v>
      </c>
      <c r="M19" s="12">
        <v>3</v>
      </c>
      <c r="N19" s="12">
        <f>12+22</f>
        <v>34</v>
      </c>
      <c r="O19" s="12">
        <v>3</v>
      </c>
      <c r="P19" s="12">
        <v>8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f t="shared" si="0"/>
        <v>186</v>
      </c>
    </row>
    <row r="20" spans="1:24">
      <c r="A20" s="15" t="s">
        <v>38</v>
      </c>
      <c r="B20" s="15" t="s">
        <v>39</v>
      </c>
      <c r="C20" s="15">
        <v>6585006.5999999996</v>
      </c>
      <c r="D20" s="15">
        <v>342433.4</v>
      </c>
      <c r="E20" s="12">
        <v>12</v>
      </c>
      <c r="F20" s="12">
        <v>2</v>
      </c>
      <c r="G20" s="12">
        <v>0</v>
      </c>
      <c r="H20" s="12">
        <v>32</v>
      </c>
      <c r="I20" s="12">
        <v>0</v>
      </c>
      <c r="J20" s="12">
        <v>0</v>
      </c>
      <c r="K20" s="12">
        <v>2</v>
      </c>
      <c r="L20" s="12">
        <v>34</v>
      </c>
      <c r="M20" s="12">
        <v>0</v>
      </c>
      <c r="N20" s="12">
        <v>27</v>
      </c>
      <c r="O20" s="12">
        <v>2</v>
      </c>
      <c r="P20" s="12">
        <v>1</v>
      </c>
      <c r="Q20" s="12">
        <v>4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f t="shared" si="0"/>
        <v>116</v>
      </c>
    </row>
    <row r="21" spans="1:24">
      <c r="A21" s="15" t="s">
        <v>40</v>
      </c>
      <c r="B21" s="15" t="s">
        <v>41</v>
      </c>
      <c r="C21" s="15">
        <v>6585646.9000000004</v>
      </c>
      <c r="D21" s="15">
        <v>343175.7</v>
      </c>
      <c r="E21" s="12">
        <f>8+6+12+3</f>
        <v>29</v>
      </c>
      <c r="F21" s="12">
        <f>3</f>
        <v>3</v>
      </c>
      <c r="G21" s="12">
        <v>1</v>
      </c>
      <c r="H21" s="12">
        <f>28+26+31</f>
        <v>85</v>
      </c>
      <c r="I21" s="12">
        <v>0</v>
      </c>
      <c r="J21" s="12">
        <v>0</v>
      </c>
      <c r="K21" s="12">
        <v>18</v>
      </c>
      <c r="L21" s="12">
        <v>95</v>
      </c>
      <c r="M21" s="12">
        <v>0</v>
      </c>
      <c r="N21" s="12">
        <f>21+16+14+9</f>
        <v>60</v>
      </c>
      <c r="O21" s="12">
        <v>8</v>
      </c>
      <c r="P21" s="12">
        <v>0</v>
      </c>
      <c r="Q21" s="12">
        <f>2+3+5</f>
        <v>10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f t="shared" si="0"/>
        <v>309</v>
      </c>
    </row>
    <row r="22" spans="1:24">
      <c r="A22" s="15" t="s">
        <v>42</v>
      </c>
      <c r="B22" s="15" t="s">
        <v>43</v>
      </c>
      <c r="C22" s="15">
        <v>6587679</v>
      </c>
      <c r="D22" s="15">
        <v>345346</v>
      </c>
      <c r="E22" s="12">
        <f>11+14+10</f>
        <v>35</v>
      </c>
      <c r="F22" s="12">
        <v>1</v>
      </c>
      <c r="G22" s="12">
        <v>0</v>
      </c>
      <c r="H22" s="12">
        <f>28+26+21+22</f>
        <v>97</v>
      </c>
      <c r="I22" s="12">
        <v>0</v>
      </c>
      <c r="J22" s="12">
        <v>0</v>
      </c>
      <c r="K22" s="12">
        <v>1</v>
      </c>
      <c r="L22" s="12">
        <v>80</v>
      </c>
      <c r="M22" s="12">
        <v>0</v>
      </c>
      <c r="N22" s="12">
        <f>24+17+33</f>
        <v>74</v>
      </c>
      <c r="O22" s="12">
        <v>7</v>
      </c>
      <c r="P22" s="12">
        <v>3</v>
      </c>
      <c r="Q22" s="12">
        <f>4+3+6</f>
        <v>13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f t="shared" si="0"/>
        <v>311</v>
      </c>
    </row>
    <row r="23" spans="1:24">
      <c r="A23" s="15" t="s">
        <v>44</v>
      </c>
      <c r="B23" s="15" t="s">
        <v>45</v>
      </c>
      <c r="C23" s="15">
        <v>6586902</v>
      </c>
      <c r="D23" s="15">
        <v>344191</v>
      </c>
      <c r="E23" s="12">
        <f>9+8+13</f>
        <v>30</v>
      </c>
      <c r="F23" s="12">
        <v>1</v>
      </c>
      <c r="G23" s="12">
        <v>0</v>
      </c>
      <c r="H23" s="12">
        <f>33+32+40</f>
        <v>105</v>
      </c>
      <c r="I23" s="12">
        <v>0</v>
      </c>
      <c r="J23" s="12">
        <v>0</v>
      </c>
      <c r="K23" s="12">
        <v>2</v>
      </c>
      <c r="L23" s="12">
        <v>102</v>
      </c>
      <c r="M23" s="12">
        <v>0</v>
      </c>
      <c r="N23" s="12">
        <f>9+12+11</f>
        <v>32</v>
      </c>
      <c r="O23" s="12">
        <v>4</v>
      </c>
      <c r="P23" s="12">
        <v>0</v>
      </c>
      <c r="Q23" s="12">
        <f>9</f>
        <v>9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f t="shared" si="0"/>
        <v>285</v>
      </c>
    </row>
    <row r="24" spans="1:24">
      <c r="A24" s="15" t="s">
        <v>46</v>
      </c>
      <c r="B24" s="15" t="s">
        <v>47</v>
      </c>
      <c r="C24" s="15">
        <v>6579434.2999999998</v>
      </c>
      <c r="D24" s="15">
        <v>341857.4</v>
      </c>
      <c r="E24" s="12">
        <v>36</v>
      </c>
      <c r="F24" s="12">
        <v>8</v>
      </c>
      <c r="G24" s="12">
        <v>0</v>
      </c>
      <c r="H24" s="12">
        <v>31</v>
      </c>
      <c r="I24" s="12">
        <v>1</v>
      </c>
      <c r="J24" s="12">
        <v>0</v>
      </c>
      <c r="K24" s="12">
        <v>4</v>
      </c>
      <c r="L24" s="12">
        <v>46</v>
      </c>
      <c r="M24" s="12">
        <v>0</v>
      </c>
      <c r="N24" s="12">
        <v>0</v>
      </c>
      <c r="O24" s="12">
        <v>3</v>
      </c>
      <c r="P24" s="12">
        <v>2</v>
      </c>
      <c r="Q24" s="12">
        <v>6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f t="shared" si="0"/>
        <v>137</v>
      </c>
    </row>
    <row r="25" spans="1:24">
      <c r="A25" s="15" t="s">
        <v>48</v>
      </c>
      <c r="B25" s="15" t="s">
        <v>49</v>
      </c>
      <c r="C25" s="15">
        <v>6579618.9000000004</v>
      </c>
      <c r="D25" s="15">
        <v>342074.8</v>
      </c>
      <c r="E25" s="12">
        <f>10+14+14</f>
        <v>38</v>
      </c>
      <c r="F25" s="12">
        <v>0</v>
      </c>
      <c r="G25" s="12">
        <v>1</v>
      </c>
      <c r="H25" s="12">
        <f>33+10+24</f>
        <v>67</v>
      </c>
      <c r="I25" s="12">
        <f>13+6+4</f>
        <v>23</v>
      </c>
      <c r="J25" s="12">
        <v>0</v>
      </c>
      <c r="K25" s="12">
        <f>23+30+17</f>
        <v>70</v>
      </c>
      <c r="L25" s="12">
        <f>24+21+19</f>
        <v>64</v>
      </c>
      <c r="M25" s="12">
        <v>0</v>
      </c>
      <c r="N25" s="12">
        <v>0</v>
      </c>
      <c r="O25" s="12">
        <v>5</v>
      </c>
      <c r="P25" s="12">
        <v>5</v>
      </c>
      <c r="Q25" s="12">
        <f>5+8+2</f>
        <v>15</v>
      </c>
      <c r="R25" s="12">
        <v>1</v>
      </c>
      <c r="S25" s="12">
        <v>0</v>
      </c>
      <c r="T25" s="12">
        <v>0</v>
      </c>
      <c r="U25" s="12">
        <v>0</v>
      </c>
      <c r="V25" s="12">
        <v>0</v>
      </c>
      <c r="W25" s="12">
        <v>1</v>
      </c>
      <c r="X25" s="12">
        <f t="shared" si="0"/>
        <v>290</v>
      </c>
    </row>
    <row r="26" spans="1:24">
      <c r="A26" s="15" t="s">
        <v>50</v>
      </c>
      <c r="B26" s="15" t="s">
        <v>51</v>
      </c>
      <c r="C26" s="15">
        <v>6580290.5</v>
      </c>
      <c r="D26" s="15">
        <v>343856</v>
      </c>
      <c r="E26" s="12">
        <f>44+31+41</f>
        <v>116</v>
      </c>
      <c r="F26" s="12">
        <v>9</v>
      </c>
      <c r="G26" s="12">
        <v>1</v>
      </c>
      <c r="H26" s="12">
        <f>35+28+55</f>
        <v>118</v>
      </c>
      <c r="I26" s="12">
        <v>4</v>
      </c>
      <c r="J26" s="12">
        <v>0</v>
      </c>
      <c r="K26" s="12">
        <v>8</v>
      </c>
      <c r="L26" s="12">
        <f>18+31+28</f>
        <v>77</v>
      </c>
      <c r="M26" s="12">
        <v>0</v>
      </c>
      <c r="N26" s="12">
        <v>0</v>
      </c>
      <c r="O26" s="12">
        <v>10</v>
      </c>
      <c r="P26" s="12">
        <v>2</v>
      </c>
      <c r="Q26" s="12">
        <v>7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f t="shared" si="0"/>
        <v>352</v>
      </c>
    </row>
    <row r="27" spans="1:24">
      <c r="A27" s="15" t="s">
        <v>52</v>
      </c>
      <c r="B27" s="15" t="s">
        <v>53</v>
      </c>
      <c r="C27" s="15">
        <v>6585399</v>
      </c>
      <c r="D27" s="15">
        <v>346667</v>
      </c>
      <c r="E27" s="12">
        <f>26+28+14</f>
        <v>68</v>
      </c>
      <c r="F27" s="12">
        <v>12</v>
      </c>
      <c r="G27" s="12">
        <v>0</v>
      </c>
      <c r="H27" s="12">
        <f>24+42</f>
        <v>66</v>
      </c>
      <c r="I27" s="12">
        <v>0</v>
      </c>
      <c r="J27" s="12">
        <v>0</v>
      </c>
      <c r="K27" s="12">
        <v>2</v>
      </c>
      <c r="L27" s="12">
        <f>25+37+1</f>
        <v>63</v>
      </c>
      <c r="M27" s="12">
        <v>0</v>
      </c>
      <c r="N27" s="12">
        <f>18</f>
        <v>18</v>
      </c>
      <c r="O27" s="12">
        <v>5</v>
      </c>
      <c r="P27" s="12">
        <v>8</v>
      </c>
      <c r="Q27" s="12">
        <v>15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f t="shared" si="0"/>
        <v>257</v>
      </c>
    </row>
    <row r="28" spans="1:24">
      <c r="A28" s="15" t="s">
        <v>54</v>
      </c>
      <c r="B28" s="15" t="s">
        <v>55</v>
      </c>
      <c r="C28" s="15">
        <v>6585134</v>
      </c>
      <c r="D28" s="15">
        <v>345433</v>
      </c>
      <c r="E28" s="12">
        <f>56+42+47+2</f>
        <v>147</v>
      </c>
      <c r="F28" s="12">
        <v>8</v>
      </c>
      <c r="G28" s="12">
        <v>1</v>
      </c>
      <c r="H28" s="12">
        <f>16+16+5</f>
        <v>37</v>
      </c>
      <c r="I28" s="12">
        <v>0</v>
      </c>
      <c r="J28" s="12">
        <v>0</v>
      </c>
      <c r="K28" s="12">
        <v>0</v>
      </c>
      <c r="L28" s="12">
        <f>37+41+42+4</f>
        <v>124</v>
      </c>
      <c r="M28" s="12">
        <v>0</v>
      </c>
      <c r="N28" s="12">
        <v>0</v>
      </c>
      <c r="O28" s="12">
        <v>5</v>
      </c>
      <c r="P28" s="12">
        <v>0</v>
      </c>
      <c r="Q28" s="12">
        <f>9+13+9</f>
        <v>31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f t="shared" si="0"/>
        <v>353</v>
      </c>
    </row>
    <row r="29" spans="1:24">
      <c r="A29" s="15" t="s">
        <v>56</v>
      </c>
      <c r="B29" s="15" t="s">
        <v>57</v>
      </c>
      <c r="C29" s="15">
        <v>6586118.5999999996</v>
      </c>
      <c r="D29" s="15">
        <v>343169.3</v>
      </c>
      <c r="E29" s="12">
        <f>13+8</f>
        <v>21</v>
      </c>
      <c r="F29" s="12">
        <f>8</f>
        <v>8</v>
      </c>
      <c r="G29" s="12">
        <v>1</v>
      </c>
      <c r="H29" s="12">
        <f>35+16+34</f>
        <v>85</v>
      </c>
      <c r="I29" s="12">
        <v>0</v>
      </c>
      <c r="J29" s="12">
        <v>0</v>
      </c>
      <c r="K29" s="12">
        <v>0</v>
      </c>
      <c r="L29" s="12">
        <f>37+28+35</f>
        <v>100</v>
      </c>
      <c r="M29" s="12">
        <v>0</v>
      </c>
      <c r="N29" s="14">
        <v>0</v>
      </c>
      <c r="O29" s="12">
        <f>44+9</f>
        <v>53</v>
      </c>
      <c r="P29" s="12">
        <v>1</v>
      </c>
      <c r="Q29" s="12">
        <v>2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f t="shared" si="0"/>
        <v>271</v>
      </c>
    </row>
    <row r="30" spans="1:24">
      <c r="A30" s="15" t="s">
        <v>58</v>
      </c>
      <c r="B30" s="15" t="s">
        <v>59</v>
      </c>
      <c r="C30" s="15">
        <v>6587819.5</v>
      </c>
      <c r="D30" s="15">
        <v>353653.5</v>
      </c>
      <c r="E30" s="12">
        <f>31+28</f>
        <v>59</v>
      </c>
      <c r="F30" s="12">
        <v>1</v>
      </c>
      <c r="G30" s="12">
        <v>2</v>
      </c>
      <c r="H30" s="12">
        <f>24+19</f>
        <v>43</v>
      </c>
      <c r="I30" s="12">
        <v>4</v>
      </c>
      <c r="J30" s="12">
        <v>0</v>
      </c>
      <c r="K30" s="12">
        <v>4</v>
      </c>
      <c r="L30" s="12">
        <f>26+24</f>
        <v>50</v>
      </c>
      <c r="M30" s="12">
        <v>0</v>
      </c>
      <c r="N30" s="12">
        <v>1</v>
      </c>
      <c r="O30" s="12">
        <v>0</v>
      </c>
      <c r="P30" s="12">
        <f>2+7+3</f>
        <v>12</v>
      </c>
      <c r="Q30" s="12">
        <v>4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f t="shared" si="0"/>
        <v>180</v>
      </c>
    </row>
    <row r="31" spans="1:24">
      <c r="A31" s="15" t="s">
        <v>60</v>
      </c>
      <c r="B31" s="15" t="s">
        <v>61</v>
      </c>
      <c r="C31" s="15">
        <v>6586764.2999999998</v>
      </c>
      <c r="D31" s="15">
        <v>352329.3</v>
      </c>
      <c r="E31" s="12">
        <v>25</v>
      </c>
      <c r="F31" s="12">
        <v>0</v>
      </c>
      <c r="G31" s="12">
        <v>0</v>
      </c>
      <c r="H31" s="12">
        <f>22+39</f>
        <v>61</v>
      </c>
      <c r="I31" s="12">
        <v>0</v>
      </c>
      <c r="J31" s="12">
        <v>0</v>
      </c>
      <c r="K31" s="12">
        <v>21</v>
      </c>
      <c r="L31" s="12">
        <f>23+28</f>
        <v>51</v>
      </c>
      <c r="M31" s="12">
        <v>0</v>
      </c>
      <c r="N31" s="12">
        <v>2</v>
      </c>
      <c r="O31" s="12">
        <v>1</v>
      </c>
      <c r="P31" s="12">
        <v>2</v>
      </c>
      <c r="Q31" s="12">
        <f>7+5</f>
        <v>12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f t="shared" si="0"/>
        <v>175</v>
      </c>
    </row>
    <row r="32" spans="1:24">
      <c r="A32" s="15" t="s">
        <v>62</v>
      </c>
      <c r="B32" s="15" t="s">
        <v>63</v>
      </c>
      <c r="C32" s="15">
        <v>6585790</v>
      </c>
      <c r="D32" s="15">
        <v>344014</v>
      </c>
      <c r="E32" s="12">
        <f>15+8</f>
        <v>23</v>
      </c>
      <c r="F32" s="12">
        <v>2</v>
      </c>
      <c r="G32" s="12">
        <v>0</v>
      </c>
      <c r="H32" s="12">
        <f>34+31</f>
        <v>65</v>
      </c>
      <c r="I32" s="12">
        <v>0</v>
      </c>
      <c r="J32" s="12">
        <v>0</v>
      </c>
      <c r="K32" s="12">
        <v>2</v>
      </c>
      <c r="L32" s="12">
        <v>56</v>
      </c>
      <c r="M32" s="12">
        <v>1</v>
      </c>
      <c r="N32" s="12">
        <f>6+6+1</f>
        <v>13</v>
      </c>
      <c r="O32" s="12">
        <v>9</v>
      </c>
      <c r="P32" s="12">
        <v>1</v>
      </c>
      <c r="Q32" s="12">
        <v>3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f t="shared" si="0"/>
        <v>175</v>
      </c>
    </row>
    <row r="33" spans="1:25">
      <c r="A33" s="15" t="s">
        <v>64</v>
      </c>
      <c r="B33" s="15" t="s">
        <v>65</v>
      </c>
      <c r="C33" s="15">
        <v>6579240.2000000002</v>
      </c>
      <c r="D33" s="15">
        <v>341497.8</v>
      </c>
      <c r="E33" s="12">
        <f>26+12</f>
        <v>38</v>
      </c>
      <c r="F33" s="12">
        <v>0</v>
      </c>
      <c r="G33" s="12">
        <v>0</v>
      </c>
      <c r="H33" s="12">
        <f>38+22</f>
        <v>60</v>
      </c>
      <c r="I33" s="12">
        <v>0</v>
      </c>
      <c r="J33" s="12">
        <v>0</v>
      </c>
      <c r="K33" s="12">
        <v>4</v>
      </c>
      <c r="L33" s="12">
        <f>30+25</f>
        <v>55</v>
      </c>
      <c r="M33" s="12">
        <v>1</v>
      </c>
      <c r="N33" s="12">
        <v>0</v>
      </c>
      <c r="O33" s="12">
        <v>11</v>
      </c>
      <c r="P33" s="12">
        <v>2</v>
      </c>
      <c r="Q33" s="12">
        <v>4</v>
      </c>
      <c r="R33" s="12">
        <v>0</v>
      </c>
      <c r="S33" s="12">
        <v>0</v>
      </c>
      <c r="T33" s="12">
        <v>0</v>
      </c>
      <c r="U33" s="12">
        <v>0</v>
      </c>
      <c r="V33" s="12">
        <v>1</v>
      </c>
      <c r="W33" s="12">
        <v>0</v>
      </c>
      <c r="X33" s="12">
        <f t="shared" si="0"/>
        <v>176</v>
      </c>
    </row>
    <row r="34" spans="1:25" s="13" customFormat="1">
      <c r="A34" s="15" t="s">
        <v>66</v>
      </c>
      <c r="B34" s="15" t="s">
        <v>67</v>
      </c>
      <c r="C34" s="15">
        <v>6579158</v>
      </c>
      <c r="D34" s="15">
        <v>341781.4</v>
      </c>
      <c r="E34" s="12">
        <f>25+28+18</f>
        <v>71</v>
      </c>
      <c r="F34" s="12">
        <v>5</v>
      </c>
      <c r="G34" s="12">
        <v>1</v>
      </c>
      <c r="H34" s="12">
        <f>28+24+12</f>
        <v>64</v>
      </c>
      <c r="I34" s="12">
        <v>2</v>
      </c>
      <c r="J34" s="12">
        <v>0</v>
      </c>
      <c r="K34" s="12">
        <v>5</v>
      </c>
      <c r="L34" s="12">
        <f>21+28+15</f>
        <v>64</v>
      </c>
      <c r="M34" s="12">
        <v>0</v>
      </c>
      <c r="N34" s="12">
        <v>0</v>
      </c>
      <c r="O34" s="12">
        <v>6</v>
      </c>
      <c r="P34" s="12">
        <v>5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f t="shared" si="0"/>
        <v>223</v>
      </c>
    </row>
    <row r="35" spans="1:25" s="13" customFormat="1">
      <c r="A35" s="15" t="s">
        <v>68</v>
      </c>
      <c r="B35" s="15" t="s">
        <v>69</v>
      </c>
      <c r="C35" s="15">
        <v>6579164.2999999998</v>
      </c>
      <c r="D35" s="15">
        <v>342054.5</v>
      </c>
      <c r="E35" s="12">
        <f>26+19</f>
        <v>45</v>
      </c>
      <c r="F35" s="12">
        <v>9</v>
      </c>
      <c r="G35" s="12">
        <v>1</v>
      </c>
      <c r="H35" s="12">
        <f>43+25</f>
        <v>68</v>
      </c>
      <c r="I35" s="12">
        <v>0</v>
      </c>
      <c r="J35" s="12">
        <v>0</v>
      </c>
      <c r="K35" s="12">
        <v>13</v>
      </c>
      <c r="L35" s="12">
        <f>34+29</f>
        <v>63</v>
      </c>
      <c r="M35" s="12">
        <v>0</v>
      </c>
      <c r="N35" s="12">
        <v>0</v>
      </c>
      <c r="O35" s="12">
        <v>12</v>
      </c>
      <c r="P35" s="12">
        <v>5</v>
      </c>
      <c r="Q35" s="12">
        <v>10</v>
      </c>
      <c r="R35" s="12">
        <v>1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f t="shared" si="0"/>
        <v>227</v>
      </c>
    </row>
    <row r="36" spans="1:25" s="13" customFormat="1">
      <c r="A36" s="15" t="s">
        <v>70</v>
      </c>
      <c r="B36" s="15" t="s">
        <v>71</v>
      </c>
      <c r="C36" s="15">
        <v>6579181</v>
      </c>
      <c r="D36" s="15">
        <v>342236.9</v>
      </c>
      <c r="E36" s="12">
        <f>21+30</f>
        <v>51</v>
      </c>
      <c r="F36" s="12">
        <v>5</v>
      </c>
      <c r="G36" s="12">
        <v>0</v>
      </c>
      <c r="H36" s="12">
        <f>27+40</f>
        <v>67</v>
      </c>
      <c r="I36" s="12">
        <v>0</v>
      </c>
      <c r="J36" s="12">
        <v>1</v>
      </c>
      <c r="K36" s="12">
        <v>7</v>
      </c>
      <c r="L36" s="12">
        <f>34+51</f>
        <v>85</v>
      </c>
      <c r="M36" s="12">
        <v>2</v>
      </c>
      <c r="N36" s="12">
        <v>0</v>
      </c>
      <c r="O36" s="12">
        <v>11</v>
      </c>
      <c r="P36" s="12">
        <v>1</v>
      </c>
      <c r="Q36" s="12">
        <v>6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f t="shared" si="0"/>
        <v>236</v>
      </c>
    </row>
    <row r="37" spans="1:25" s="13" customFormat="1">
      <c r="A37" s="15" t="s">
        <v>72</v>
      </c>
      <c r="B37" s="15" t="s">
        <v>73</v>
      </c>
      <c r="C37" s="15">
        <v>6579332.4000000004</v>
      </c>
      <c r="D37" s="15">
        <v>342206.7</v>
      </c>
      <c r="E37" s="12">
        <f>37+20+19</f>
        <v>76</v>
      </c>
      <c r="F37" s="12">
        <v>10</v>
      </c>
      <c r="G37" s="12">
        <v>2</v>
      </c>
      <c r="H37" s="12">
        <f>24+51+23</f>
        <v>98</v>
      </c>
      <c r="I37" s="12">
        <v>2</v>
      </c>
      <c r="J37" s="12">
        <v>0</v>
      </c>
      <c r="K37" s="12">
        <v>11</v>
      </c>
      <c r="L37" s="12">
        <f>44+44+21</f>
        <v>109</v>
      </c>
      <c r="M37" s="12"/>
      <c r="N37" s="12"/>
      <c r="O37" s="12">
        <v>16</v>
      </c>
      <c r="P37" s="12">
        <v>2</v>
      </c>
      <c r="Q37" s="12">
        <v>17</v>
      </c>
      <c r="R37" s="12"/>
      <c r="S37" s="12"/>
      <c r="T37" s="12"/>
      <c r="U37" s="12"/>
      <c r="V37" s="12"/>
      <c r="W37" s="12">
        <v>1</v>
      </c>
      <c r="X37" s="12">
        <f t="shared" si="0"/>
        <v>344</v>
      </c>
    </row>
    <row r="38" spans="1:25" s="13" customFormat="1">
      <c r="A38" s="15" t="s">
        <v>74</v>
      </c>
      <c r="B38" s="15" t="s">
        <v>75</v>
      </c>
      <c r="C38" s="15">
        <v>6579319.7999999998</v>
      </c>
      <c r="D38" s="15">
        <v>342002.5</v>
      </c>
      <c r="E38" s="12">
        <v>42</v>
      </c>
      <c r="F38" s="12">
        <v>7</v>
      </c>
      <c r="G38" s="12">
        <v>0</v>
      </c>
      <c r="H38" s="12">
        <f>27+39</f>
        <v>66</v>
      </c>
      <c r="I38" s="12">
        <v>0</v>
      </c>
      <c r="J38" s="12">
        <v>0</v>
      </c>
      <c r="K38" s="12">
        <v>20</v>
      </c>
      <c r="L38" s="12">
        <f>25+40</f>
        <v>65</v>
      </c>
      <c r="M38" s="12">
        <v>0</v>
      </c>
      <c r="N38" s="12">
        <v>0</v>
      </c>
      <c r="O38" s="12">
        <v>10</v>
      </c>
      <c r="P38" s="12">
        <v>4</v>
      </c>
      <c r="Q38" s="12">
        <v>13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f t="shared" si="0"/>
        <v>227</v>
      </c>
    </row>
    <row r="39" spans="1:25" s="13" customFormat="1">
      <c r="A39" s="15" t="s">
        <v>76</v>
      </c>
      <c r="B39" s="15" t="s">
        <v>77</v>
      </c>
      <c r="C39" s="15">
        <v>6579713.2000000002</v>
      </c>
      <c r="D39" s="15">
        <v>342412.4</v>
      </c>
      <c r="E39" s="12">
        <v>7</v>
      </c>
      <c r="F39" s="12">
        <v>5</v>
      </c>
      <c r="G39" s="12">
        <v>0</v>
      </c>
      <c r="H39" s="12">
        <v>20</v>
      </c>
      <c r="I39" s="12">
        <v>4</v>
      </c>
      <c r="J39" s="12">
        <v>0</v>
      </c>
      <c r="K39" s="12">
        <v>3</v>
      </c>
      <c r="L39" s="12">
        <v>24</v>
      </c>
      <c r="M39" s="12">
        <v>0</v>
      </c>
      <c r="N39" s="12">
        <v>0</v>
      </c>
      <c r="O39" s="12">
        <v>4</v>
      </c>
      <c r="P39" s="12">
        <v>1</v>
      </c>
      <c r="Q39" s="12">
        <v>1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f t="shared" si="0"/>
        <v>69</v>
      </c>
    </row>
    <row r="40" spans="1:25" s="13" customFormat="1">
      <c r="A40" s="15" t="s">
        <v>78</v>
      </c>
      <c r="B40" s="15" t="s">
        <v>79</v>
      </c>
      <c r="C40" s="15">
        <v>6579763.5</v>
      </c>
      <c r="D40" s="15">
        <v>341592.9</v>
      </c>
      <c r="E40" s="12">
        <f>13+6</f>
        <v>19</v>
      </c>
      <c r="F40" s="12">
        <v>5</v>
      </c>
      <c r="G40" s="12">
        <v>2</v>
      </c>
      <c r="H40" s="12">
        <f>23+28</f>
        <v>51</v>
      </c>
      <c r="I40" s="12">
        <v>11</v>
      </c>
      <c r="J40" s="12">
        <v>0</v>
      </c>
      <c r="K40" s="12">
        <v>5</v>
      </c>
      <c r="L40" s="12">
        <f>31+23</f>
        <v>54</v>
      </c>
      <c r="M40" s="12">
        <v>0</v>
      </c>
      <c r="N40" s="12">
        <v>0</v>
      </c>
      <c r="O40" s="12">
        <v>9</v>
      </c>
      <c r="P40" s="12">
        <v>0</v>
      </c>
      <c r="Q40" s="12">
        <v>8</v>
      </c>
      <c r="R40" s="12">
        <v>0</v>
      </c>
      <c r="S40" s="12">
        <v>0</v>
      </c>
      <c r="T40" s="12">
        <v>0</v>
      </c>
      <c r="U40" s="12">
        <v>1</v>
      </c>
      <c r="V40" s="12">
        <v>0</v>
      </c>
      <c r="W40" s="12">
        <v>0</v>
      </c>
      <c r="X40" s="12">
        <f t="shared" si="0"/>
        <v>165</v>
      </c>
    </row>
    <row r="41" spans="1:25" s="13" customFormat="1">
      <c r="A41" s="15" t="s">
        <v>80</v>
      </c>
      <c r="B41" s="15" t="s">
        <v>81</v>
      </c>
      <c r="C41" s="15">
        <v>6579431</v>
      </c>
      <c r="D41" s="15">
        <v>342544</v>
      </c>
      <c r="E41" s="12">
        <f>15+15+18</f>
        <v>48</v>
      </c>
      <c r="F41" s="12">
        <v>13</v>
      </c>
      <c r="G41" s="12">
        <v>4</v>
      </c>
      <c r="H41" s="12">
        <f>28+43+34</f>
        <v>105</v>
      </c>
      <c r="I41" s="12">
        <v>2</v>
      </c>
      <c r="J41" s="12">
        <v>0</v>
      </c>
      <c r="K41" s="12">
        <v>6</v>
      </c>
      <c r="L41" s="12">
        <f>24+20+13</f>
        <v>57</v>
      </c>
      <c r="M41" s="12">
        <v>0</v>
      </c>
      <c r="N41" s="12">
        <v>0</v>
      </c>
      <c r="O41" s="12">
        <v>24</v>
      </c>
      <c r="P41" s="12">
        <v>0</v>
      </c>
      <c r="Q41" s="12">
        <v>7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f t="shared" si="0"/>
        <v>266</v>
      </c>
    </row>
    <row r="42" spans="1:25" s="13" customFormat="1">
      <c r="A42" s="15" t="s">
        <v>82</v>
      </c>
      <c r="B42" s="15" t="s">
        <v>83</v>
      </c>
      <c r="C42" s="15">
        <v>6585234.5999999996</v>
      </c>
      <c r="D42" s="15">
        <v>343449.9</v>
      </c>
      <c r="E42" s="12">
        <v>10</v>
      </c>
      <c r="F42" s="12">
        <v>1</v>
      </c>
      <c r="G42" s="12">
        <v>1</v>
      </c>
      <c r="H42" s="12">
        <v>30</v>
      </c>
      <c r="I42" s="12">
        <v>0</v>
      </c>
      <c r="J42" s="12">
        <v>0</v>
      </c>
      <c r="K42" s="12">
        <v>8</v>
      </c>
      <c r="L42" s="12">
        <v>28</v>
      </c>
      <c r="M42" s="12">
        <v>0</v>
      </c>
      <c r="N42" s="12">
        <v>3</v>
      </c>
      <c r="O42" s="12">
        <v>1</v>
      </c>
      <c r="P42" s="12">
        <v>5</v>
      </c>
      <c r="Q42" s="12">
        <v>3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f t="shared" si="0"/>
        <v>90</v>
      </c>
    </row>
    <row r="43" spans="1:25" s="13" customFormat="1">
      <c r="A43" s="15" t="s">
        <v>84</v>
      </c>
      <c r="B43" s="15" t="s">
        <v>85</v>
      </c>
      <c r="C43" s="15">
        <v>6579525.4000000004</v>
      </c>
      <c r="D43" s="15">
        <v>341986.3</v>
      </c>
      <c r="E43" s="12">
        <f>33+33+16</f>
        <v>82</v>
      </c>
      <c r="F43" s="12">
        <v>3</v>
      </c>
      <c r="G43" s="12">
        <v>0</v>
      </c>
      <c r="H43" s="12">
        <f>30+27+25+2</f>
        <v>84</v>
      </c>
      <c r="I43" s="12">
        <v>8</v>
      </c>
      <c r="J43" s="12">
        <v>0</v>
      </c>
      <c r="K43" s="12">
        <v>21</v>
      </c>
      <c r="L43" s="12">
        <f>25+35+31</f>
        <v>91</v>
      </c>
      <c r="M43" s="12">
        <v>0</v>
      </c>
      <c r="N43" s="12">
        <v>0</v>
      </c>
      <c r="O43" s="12">
        <f>11</f>
        <v>11</v>
      </c>
      <c r="P43" s="12">
        <v>3</v>
      </c>
      <c r="Q43" s="12">
        <v>7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1</v>
      </c>
      <c r="X43" s="12">
        <f t="shared" si="0"/>
        <v>311</v>
      </c>
    </row>
    <row r="44" spans="1:25" s="21" customFormat="1">
      <c r="A44" s="20"/>
      <c r="B44" s="20"/>
      <c r="C44" s="20"/>
      <c r="D44" s="20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</row>
    <row r="45" spans="1:25">
      <c r="Y45" s="14"/>
    </row>
    <row r="46" spans="1:25" s="17" customFormat="1">
      <c r="A46" s="23"/>
      <c r="B46" s="23"/>
      <c r="C46" s="15"/>
      <c r="D46" s="15"/>
    </row>
  </sheetData>
  <mergeCells count="8">
    <mergeCell ref="L1:P1"/>
    <mergeCell ref="R1:W1"/>
    <mergeCell ref="A1:A2"/>
    <mergeCell ref="B1:B2"/>
    <mergeCell ref="C1:C2"/>
    <mergeCell ref="D1:D2"/>
    <mergeCell ref="E1:H1"/>
    <mergeCell ref="I1:K1"/>
  </mergeCells>
  <printOptions gridLines="1"/>
  <pageMargins left="0.7" right="0.7" top="0.75" bottom="0.75" header="0.3" footer="0.3"/>
  <pageSetup paperSize="17" scale="90" orientation="landscape" r:id="rId1"/>
  <headerFooter>
    <oddFooter>Page &amp;P of 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Y46"/>
  <sheetViews>
    <sheetView workbookViewId="0">
      <pane ySplit="2" topLeftCell="A3" activePane="bottomLeft" state="frozen"/>
      <selection pane="bottomLeft" activeCell="A3" sqref="A3"/>
    </sheetView>
  </sheetViews>
  <sheetFormatPr defaultRowHeight="15"/>
  <cols>
    <col min="1" max="1" width="11.5703125" style="15" customWidth="1"/>
    <col min="2" max="2" width="11.42578125" style="15" customWidth="1"/>
    <col min="3" max="3" width="12.5703125" style="15" bestFit="1" customWidth="1"/>
    <col min="4" max="4" width="11.5703125" style="15" bestFit="1" customWidth="1"/>
    <col min="5" max="5" width="9" style="12" customWidth="1"/>
    <col min="6" max="6" width="10.7109375" style="12" customWidth="1"/>
    <col min="7" max="7" width="8.85546875" style="12" customWidth="1"/>
    <col min="8" max="8" width="8.85546875" style="12" bestFit="1" customWidth="1"/>
    <col min="9" max="9" width="13" style="12" customWidth="1"/>
    <col min="10" max="10" width="11.5703125" style="12" customWidth="1"/>
    <col min="11" max="11" width="9" style="12" customWidth="1"/>
    <col min="12" max="12" width="8.85546875" style="12" customWidth="1"/>
    <col min="13" max="13" width="10.5703125" style="12" customWidth="1"/>
    <col min="14" max="14" width="9.140625" style="12" customWidth="1"/>
    <col min="15" max="15" width="10" style="12" customWidth="1"/>
    <col min="16" max="16" width="11.42578125" style="12" customWidth="1"/>
    <col min="17" max="17" width="8.5703125" style="12" bestFit="1" customWidth="1"/>
    <col min="18" max="18" width="8.5703125" style="12" customWidth="1"/>
    <col min="19" max="19" width="12.42578125" style="12" customWidth="1"/>
    <col min="20" max="20" width="11.85546875" style="12" customWidth="1"/>
    <col min="21" max="21" width="5.85546875" style="12" customWidth="1"/>
    <col min="22" max="22" width="8.5703125" style="12" customWidth="1"/>
    <col min="23" max="23" width="17.7109375" style="12" customWidth="1"/>
    <col min="24" max="24" width="9.42578125" style="12" customWidth="1"/>
    <col min="25" max="16384" width="9.140625" style="14"/>
  </cols>
  <sheetData>
    <row r="1" spans="1:25" ht="19.5" thickBot="1">
      <c r="A1" s="27" t="s">
        <v>92</v>
      </c>
      <c r="B1" s="27" t="s">
        <v>93</v>
      </c>
      <c r="C1" s="29" t="s">
        <v>2</v>
      </c>
      <c r="D1" s="29" t="s">
        <v>3</v>
      </c>
      <c r="E1" s="24" t="s">
        <v>96</v>
      </c>
      <c r="F1" s="25"/>
      <c r="G1" s="25"/>
      <c r="H1" s="26"/>
      <c r="I1" s="24" t="s">
        <v>86</v>
      </c>
      <c r="J1" s="25"/>
      <c r="K1" s="26"/>
      <c r="L1" s="24" t="s">
        <v>97</v>
      </c>
      <c r="M1" s="25"/>
      <c r="N1" s="25"/>
      <c r="O1" s="25"/>
      <c r="P1" s="26"/>
      <c r="R1" s="24" t="s">
        <v>91</v>
      </c>
      <c r="S1" s="25"/>
      <c r="T1" s="25"/>
      <c r="U1" s="25"/>
      <c r="V1" s="25"/>
      <c r="W1" s="26"/>
      <c r="Y1" s="13"/>
    </row>
    <row r="2" spans="1:25" s="7" customFormat="1" ht="65.25" customHeight="1" thickBot="1">
      <c r="A2" s="28"/>
      <c r="B2" s="28"/>
      <c r="C2" s="30"/>
      <c r="D2" s="30"/>
      <c r="E2" s="8" t="s">
        <v>109</v>
      </c>
      <c r="F2" s="9" t="s">
        <v>94</v>
      </c>
      <c r="G2" s="9" t="s">
        <v>87</v>
      </c>
      <c r="H2" s="10" t="s">
        <v>95</v>
      </c>
      <c r="I2" s="8" t="s">
        <v>98</v>
      </c>
      <c r="J2" s="9" t="s">
        <v>99</v>
      </c>
      <c r="K2" s="10" t="s">
        <v>100</v>
      </c>
      <c r="L2" s="8" t="s">
        <v>102</v>
      </c>
      <c r="M2" s="9" t="s">
        <v>88</v>
      </c>
      <c r="N2" s="9" t="s">
        <v>101</v>
      </c>
      <c r="O2" s="9" t="s">
        <v>110</v>
      </c>
      <c r="P2" s="10" t="s">
        <v>89</v>
      </c>
      <c r="Q2" s="11" t="s">
        <v>90</v>
      </c>
      <c r="R2" s="8" t="s">
        <v>103</v>
      </c>
      <c r="S2" s="9" t="s">
        <v>104</v>
      </c>
      <c r="T2" s="9" t="s">
        <v>105</v>
      </c>
      <c r="U2" s="9" t="s">
        <v>106</v>
      </c>
      <c r="V2" s="9" t="s">
        <v>107</v>
      </c>
      <c r="W2" s="10" t="s">
        <v>108</v>
      </c>
      <c r="X2" s="11" t="s">
        <v>0</v>
      </c>
    </row>
    <row r="3" spans="1:25" s="13" customFormat="1">
      <c r="A3" s="15" t="s">
        <v>4</v>
      </c>
      <c r="B3" s="15" t="s">
        <v>5</v>
      </c>
      <c r="C3" s="15">
        <v>6581465</v>
      </c>
      <c r="D3" s="15">
        <v>346600</v>
      </c>
      <c r="E3" s="12">
        <v>100</v>
      </c>
      <c r="F3" s="12">
        <v>8</v>
      </c>
      <c r="G3" s="12">
        <v>3</v>
      </c>
      <c r="H3" s="12">
        <v>208</v>
      </c>
      <c r="I3" s="12">
        <v>0</v>
      </c>
      <c r="J3" s="12">
        <v>0</v>
      </c>
      <c r="K3" s="12">
        <v>4</v>
      </c>
      <c r="L3" s="12">
        <v>57</v>
      </c>
      <c r="M3" s="12">
        <v>3</v>
      </c>
      <c r="N3" s="12">
        <v>1</v>
      </c>
      <c r="O3" s="12">
        <v>6</v>
      </c>
      <c r="P3" s="12">
        <v>4</v>
      </c>
      <c r="Q3" s="12">
        <v>40</v>
      </c>
      <c r="R3" s="12">
        <v>2</v>
      </c>
      <c r="S3" s="12">
        <v>0</v>
      </c>
      <c r="T3" s="12">
        <v>0</v>
      </c>
      <c r="U3" s="12">
        <v>1</v>
      </c>
      <c r="V3" s="12">
        <v>0</v>
      </c>
      <c r="W3" s="12">
        <v>0</v>
      </c>
      <c r="X3" s="12">
        <f>SUM(E3:W3)</f>
        <v>437</v>
      </c>
    </row>
    <row r="4" spans="1:25" s="13" customFormat="1">
      <c r="A4" s="15" t="s">
        <v>6</v>
      </c>
      <c r="B4" s="15" t="s">
        <v>7</v>
      </c>
      <c r="C4" s="15">
        <v>6581542.75</v>
      </c>
      <c r="D4" s="15">
        <v>347517.37</v>
      </c>
      <c r="E4" s="12">
        <v>108</v>
      </c>
      <c r="F4" s="12">
        <v>6</v>
      </c>
      <c r="G4" s="12">
        <v>1</v>
      </c>
      <c r="H4" s="12">
        <v>140</v>
      </c>
      <c r="I4" s="12">
        <v>0</v>
      </c>
      <c r="J4" s="12">
        <v>0</v>
      </c>
      <c r="K4" s="12">
        <v>2</v>
      </c>
      <c r="L4" s="12">
        <v>68</v>
      </c>
      <c r="M4" s="12">
        <v>1</v>
      </c>
      <c r="N4" s="12">
        <v>1</v>
      </c>
      <c r="O4" s="12">
        <v>9</v>
      </c>
      <c r="P4" s="12">
        <v>4</v>
      </c>
      <c r="Q4" s="12">
        <v>40</v>
      </c>
      <c r="R4" s="12">
        <v>0</v>
      </c>
      <c r="S4" s="12">
        <v>0</v>
      </c>
      <c r="T4" s="12">
        <v>0</v>
      </c>
      <c r="U4" s="12">
        <v>0</v>
      </c>
      <c r="V4" s="12">
        <v>0</v>
      </c>
      <c r="W4" s="12">
        <v>1</v>
      </c>
      <c r="X4" s="12">
        <f t="shared" ref="X4:X43" si="0">SUM(E4:W4)</f>
        <v>381</v>
      </c>
    </row>
    <row r="5" spans="1:25" s="13" customFormat="1">
      <c r="A5" s="15" t="s">
        <v>8</v>
      </c>
      <c r="B5" s="15" t="s">
        <v>9</v>
      </c>
      <c r="C5" s="15">
        <v>6580994.7999999998</v>
      </c>
      <c r="D5" s="15">
        <v>345963.6</v>
      </c>
      <c r="E5" s="12">
        <f>142</f>
        <v>142</v>
      </c>
      <c r="F5" s="12">
        <v>4</v>
      </c>
      <c r="G5" s="12">
        <v>0</v>
      </c>
      <c r="H5" s="12">
        <v>164</v>
      </c>
      <c r="I5" s="12">
        <v>0</v>
      </c>
      <c r="J5" s="12">
        <v>0</v>
      </c>
      <c r="K5" s="12">
        <v>0</v>
      </c>
      <c r="L5" s="12">
        <v>174</v>
      </c>
      <c r="M5" s="12">
        <v>0</v>
      </c>
      <c r="N5" s="12">
        <v>0</v>
      </c>
      <c r="O5" s="12">
        <v>2</v>
      </c>
      <c r="P5" s="12">
        <v>0</v>
      </c>
      <c r="Q5" s="12">
        <v>34</v>
      </c>
      <c r="R5" s="12">
        <v>0</v>
      </c>
      <c r="S5" s="12">
        <v>0</v>
      </c>
      <c r="T5" s="12">
        <v>0</v>
      </c>
      <c r="U5" s="12">
        <v>0</v>
      </c>
      <c r="V5" s="12">
        <v>0</v>
      </c>
      <c r="W5" s="12">
        <v>0</v>
      </c>
      <c r="X5" s="12">
        <f t="shared" si="0"/>
        <v>520</v>
      </c>
    </row>
    <row r="6" spans="1:25" s="13" customFormat="1">
      <c r="A6" s="15" t="s">
        <v>10</v>
      </c>
      <c r="B6" s="15" t="s">
        <v>11</v>
      </c>
      <c r="C6" s="15">
        <v>6583705.7999999998</v>
      </c>
      <c r="D6" s="15">
        <v>351451.9</v>
      </c>
      <c r="E6" s="12">
        <v>43</v>
      </c>
      <c r="F6" s="12">
        <v>8</v>
      </c>
      <c r="G6" s="12">
        <v>3</v>
      </c>
      <c r="H6" s="12">
        <v>198</v>
      </c>
      <c r="I6" s="12">
        <v>0</v>
      </c>
      <c r="J6" s="12">
        <v>0</v>
      </c>
      <c r="K6" s="12">
        <v>3</v>
      </c>
      <c r="L6" s="12">
        <v>143</v>
      </c>
      <c r="M6" s="12">
        <v>0</v>
      </c>
      <c r="N6" s="12">
        <v>5</v>
      </c>
      <c r="O6" s="12">
        <v>9</v>
      </c>
      <c r="P6" s="12">
        <v>0</v>
      </c>
      <c r="Q6" s="12">
        <v>49</v>
      </c>
      <c r="R6" s="12">
        <v>0</v>
      </c>
      <c r="S6" s="12">
        <v>0</v>
      </c>
      <c r="T6" s="12">
        <v>0</v>
      </c>
      <c r="U6" s="12">
        <v>0</v>
      </c>
      <c r="V6" s="12">
        <v>1</v>
      </c>
      <c r="W6" s="12">
        <v>0</v>
      </c>
      <c r="X6" s="12">
        <f t="shared" si="0"/>
        <v>462</v>
      </c>
    </row>
    <row r="7" spans="1:25" s="13" customFormat="1">
      <c r="A7" s="15" t="s">
        <v>12</v>
      </c>
      <c r="B7" s="15" t="s">
        <v>13</v>
      </c>
      <c r="C7" s="15">
        <v>6585327.2000000002</v>
      </c>
      <c r="D7" s="15">
        <v>351107.1</v>
      </c>
      <c r="E7" s="12">
        <v>98</v>
      </c>
      <c r="F7" s="12">
        <v>11</v>
      </c>
      <c r="G7" s="12">
        <v>5</v>
      </c>
      <c r="H7" s="12">
        <v>163</v>
      </c>
      <c r="I7" s="12">
        <v>0</v>
      </c>
      <c r="J7" s="12">
        <v>0</v>
      </c>
      <c r="K7" s="12">
        <v>5</v>
      </c>
      <c r="L7" s="12">
        <f>127+4</f>
        <v>131</v>
      </c>
      <c r="M7" s="12">
        <v>0</v>
      </c>
      <c r="N7" s="12">
        <v>0</v>
      </c>
      <c r="O7" s="12">
        <v>16</v>
      </c>
      <c r="P7" s="12">
        <v>7</v>
      </c>
      <c r="Q7" s="12">
        <v>55</v>
      </c>
      <c r="R7" s="12">
        <v>0</v>
      </c>
      <c r="S7" s="12">
        <v>0</v>
      </c>
      <c r="T7" s="12">
        <v>0</v>
      </c>
      <c r="U7" s="12">
        <v>0</v>
      </c>
      <c r="V7" s="12">
        <v>1</v>
      </c>
      <c r="W7" s="12">
        <v>0</v>
      </c>
      <c r="X7" s="12">
        <f t="shared" si="0"/>
        <v>492</v>
      </c>
    </row>
    <row r="8" spans="1:25" s="13" customFormat="1">
      <c r="A8" s="15" t="s">
        <v>14</v>
      </c>
      <c r="B8" s="15" t="s">
        <v>15</v>
      </c>
      <c r="C8" s="15">
        <v>6580536.7999999998</v>
      </c>
      <c r="D8" s="15">
        <v>347328.3</v>
      </c>
      <c r="E8" s="12">
        <v>103</v>
      </c>
      <c r="F8" s="12">
        <v>9</v>
      </c>
      <c r="G8" s="12">
        <v>0</v>
      </c>
      <c r="H8" s="12">
        <v>184</v>
      </c>
      <c r="I8" s="12">
        <v>0</v>
      </c>
      <c r="J8" s="12">
        <v>0</v>
      </c>
      <c r="K8" s="12">
        <v>0</v>
      </c>
      <c r="L8" s="12">
        <v>71</v>
      </c>
      <c r="M8" s="12">
        <v>0</v>
      </c>
      <c r="N8" s="12">
        <v>0</v>
      </c>
      <c r="O8" s="12">
        <f>16+6</f>
        <v>22</v>
      </c>
      <c r="P8" s="12">
        <v>2</v>
      </c>
      <c r="Q8" s="12">
        <f>29+86</f>
        <v>115</v>
      </c>
      <c r="R8" s="12">
        <v>0</v>
      </c>
      <c r="S8" s="12">
        <v>0</v>
      </c>
      <c r="T8" s="12">
        <v>0</v>
      </c>
      <c r="U8" s="12">
        <v>1</v>
      </c>
      <c r="V8" s="12">
        <v>0</v>
      </c>
      <c r="W8" s="12">
        <v>0</v>
      </c>
      <c r="X8" s="12">
        <f t="shared" si="0"/>
        <v>507</v>
      </c>
    </row>
    <row r="9" spans="1:25" s="13" customFormat="1">
      <c r="A9" s="15" t="s">
        <v>16</v>
      </c>
      <c r="B9" s="15" t="s">
        <v>17</v>
      </c>
      <c r="C9" s="15">
        <v>6587928.7000000002</v>
      </c>
      <c r="D9" s="15">
        <v>350635.4</v>
      </c>
      <c r="E9" s="12">
        <v>91</v>
      </c>
      <c r="F9" s="12">
        <v>0</v>
      </c>
      <c r="G9" s="12">
        <v>0</v>
      </c>
      <c r="H9" s="12">
        <v>127</v>
      </c>
      <c r="I9" s="12">
        <v>9</v>
      </c>
      <c r="J9" s="12">
        <v>0</v>
      </c>
      <c r="K9" s="12">
        <v>0</v>
      </c>
      <c r="L9" s="12">
        <v>282</v>
      </c>
      <c r="M9" s="12">
        <v>0</v>
      </c>
      <c r="N9" s="12">
        <v>0</v>
      </c>
      <c r="O9" s="12">
        <v>0</v>
      </c>
      <c r="P9" s="12">
        <v>0</v>
      </c>
      <c r="Q9" s="12">
        <v>23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2">
        <v>0</v>
      </c>
      <c r="X9" s="12">
        <f t="shared" si="0"/>
        <v>532</v>
      </c>
    </row>
    <row r="10" spans="1:25" s="13" customFormat="1">
      <c r="A10" s="15" t="s">
        <v>18</v>
      </c>
      <c r="B10" s="15" t="s">
        <v>19</v>
      </c>
      <c r="C10" s="15">
        <v>6589195.0999999996</v>
      </c>
      <c r="D10" s="15">
        <v>351269.1</v>
      </c>
      <c r="E10" s="12">
        <v>66</v>
      </c>
      <c r="F10" s="12">
        <v>1</v>
      </c>
      <c r="G10" s="12">
        <v>0</v>
      </c>
      <c r="H10" s="12">
        <v>109</v>
      </c>
      <c r="I10" s="12">
        <v>0</v>
      </c>
      <c r="J10" s="12">
        <v>0</v>
      </c>
      <c r="K10" s="12">
        <v>2</v>
      </c>
      <c r="L10" s="12">
        <v>139</v>
      </c>
      <c r="M10" s="12">
        <v>0</v>
      </c>
      <c r="N10" s="12">
        <v>0</v>
      </c>
      <c r="O10" s="12">
        <v>5</v>
      </c>
      <c r="P10" s="12">
        <v>36</v>
      </c>
      <c r="Q10" s="12">
        <v>32</v>
      </c>
      <c r="R10" s="12">
        <v>0</v>
      </c>
      <c r="S10" s="12">
        <v>0</v>
      </c>
      <c r="T10" s="12">
        <v>0</v>
      </c>
      <c r="U10" s="12">
        <v>0</v>
      </c>
      <c r="V10" s="12">
        <v>1</v>
      </c>
      <c r="W10" s="12">
        <v>0</v>
      </c>
      <c r="X10" s="12">
        <f t="shared" si="0"/>
        <v>391</v>
      </c>
    </row>
    <row r="11" spans="1:25" s="13" customFormat="1">
      <c r="A11" s="15" t="s">
        <v>20</v>
      </c>
      <c r="B11" s="15" t="s">
        <v>21</v>
      </c>
      <c r="C11" s="15">
        <v>6589311.4000000004</v>
      </c>
      <c r="D11" s="15">
        <v>348240.8</v>
      </c>
      <c r="E11" s="12">
        <v>146</v>
      </c>
      <c r="F11" s="12">
        <v>0</v>
      </c>
      <c r="G11" s="12">
        <v>0</v>
      </c>
      <c r="H11" s="12">
        <v>155</v>
      </c>
      <c r="I11" s="12">
        <v>0</v>
      </c>
      <c r="J11" s="12">
        <v>0</v>
      </c>
      <c r="K11" s="12">
        <v>0</v>
      </c>
      <c r="L11" s="12">
        <v>299</v>
      </c>
      <c r="M11" s="12">
        <v>1</v>
      </c>
      <c r="N11" s="12">
        <v>61</v>
      </c>
      <c r="O11" s="12">
        <v>19</v>
      </c>
      <c r="P11" s="12">
        <v>8</v>
      </c>
      <c r="Q11" s="12">
        <v>47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f t="shared" si="0"/>
        <v>736</v>
      </c>
    </row>
    <row r="12" spans="1:25" s="13" customFormat="1">
      <c r="A12" s="15" t="s">
        <v>22</v>
      </c>
      <c r="B12" s="15" t="s">
        <v>23</v>
      </c>
      <c r="C12" s="15">
        <v>6589480.5999999996</v>
      </c>
      <c r="D12" s="15">
        <v>348282.9</v>
      </c>
      <c r="E12" s="12">
        <v>123</v>
      </c>
      <c r="F12" s="12">
        <v>9</v>
      </c>
      <c r="G12" s="12">
        <v>3</v>
      </c>
      <c r="H12" s="12">
        <v>100</v>
      </c>
      <c r="I12" s="12">
        <v>0</v>
      </c>
      <c r="J12" s="12">
        <v>0</v>
      </c>
      <c r="K12" s="12">
        <v>4</v>
      </c>
      <c r="L12" s="12">
        <v>101</v>
      </c>
      <c r="M12" s="12">
        <v>0</v>
      </c>
      <c r="N12" s="12">
        <v>23</v>
      </c>
      <c r="O12" s="12">
        <v>2</v>
      </c>
      <c r="P12" s="12">
        <v>7</v>
      </c>
      <c r="Q12" s="12">
        <v>39</v>
      </c>
      <c r="R12" s="12">
        <v>0</v>
      </c>
      <c r="S12" s="12">
        <v>0</v>
      </c>
      <c r="T12" s="12">
        <v>0</v>
      </c>
      <c r="U12" s="12">
        <v>0</v>
      </c>
      <c r="V12" s="12">
        <v>2</v>
      </c>
      <c r="W12" s="12">
        <v>0</v>
      </c>
      <c r="X12" s="12">
        <f t="shared" si="0"/>
        <v>413</v>
      </c>
    </row>
    <row r="13" spans="1:25" s="13" customFormat="1">
      <c r="A13" s="15" t="s">
        <v>24</v>
      </c>
      <c r="B13" s="15" t="s">
        <v>25</v>
      </c>
      <c r="C13" s="15">
        <v>658422.9</v>
      </c>
      <c r="D13" s="15">
        <v>34474.6</v>
      </c>
      <c r="E13" s="12">
        <v>48</v>
      </c>
      <c r="F13" s="12">
        <v>1</v>
      </c>
      <c r="G13" s="12">
        <v>0</v>
      </c>
      <c r="H13" s="12">
        <v>99</v>
      </c>
      <c r="I13" s="12">
        <v>0</v>
      </c>
      <c r="J13" s="12">
        <v>0</v>
      </c>
      <c r="K13" s="12">
        <v>32</v>
      </c>
      <c r="L13" s="12">
        <v>52</v>
      </c>
      <c r="M13" s="12">
        <v>0</v>
      </c>
      <c r="N13" s="12">
        <v>3</v>
      </c>
      <c r="O13" s="12">
        <v>16</v>
      </c>
      <c r="P13" s="12">
        <v>5</v>
      </c>
      <c r="Q13" s="12">
        <v>18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3</v>
      </c>
      <c r="X13" s="12">
        <f t="shared" si="0"/>
        <v>277</v>
      </c>
    </row>
    <row r="14" spans="1:25" s="13" customFormat="1">
      <c r="A14" s="15" t="s">
        <v>26</v>
      </c>
      <c r="B14" s="15" t="s">
        <v>27</v>
      </c>
      <c r="C14" s="15">
        <v>6584573.5</v>
      </c>
      <c r="D14" s="15">
        <v>344348.6</v>
      </c>
      <c r="E14" s="12">
        <v>32</v>
      </c>
      <c r="F14" s="12">
        <v>7</v>
      </c>
      <c r="G14" s="12">
        <v>0</v>
      </c>
      <c r="H14" s="12">
        <v>242</v>
      </c>
      <c r="I14" s="12">
        <v>0</v>
      </c>
      <c r="J14" s="12">
        <v>0</v>
      </c>
      <c r="K14" s="12">
        <v>0</v>
      </c>
      <c r="L14" s="12">
        <f>168+7</f>
        <v>175</v>
      </c>
      <c r="M14" s="12">
        <v>4</v>
      </c>
      <c r="N14" s="12">
        <f>59+4</f>
        <v>63</v>
      </c>
      <c r="O14" s="12">
        <v>4</v>
      </c>
      <c r="P14" s="12">
        <v>6</v>
      </c>
      <c r="Q14" s="12">
        <v>25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f t="shared" si="0"/>
        <v>558</v>
      </c>
    </row>
    <row r="15" spans="1:25" s="13" customFormat="1">
      <c r="A15" s="15" t="s">
        <v>28</v>
      </c>
      <c r="B15" s="15" t="s">
        <v>29</v>
      </c>
      <c r="C15" s="15">
        <v>6584288.4000000004</v>
      </c>
      <c r="D15" s="15">
        <v>344008.5</v>
      </c>
      <c r="E15" s="12">
        <v>61</v>
      </c>
      <c r="F15" s="12">
        <v>13</v>
      </c>
      <c r="G15" s="12">
        <v>2</v>
      </c>
      <c r="H15" s="12">
        <v>226</v>
      </c>
      <c r="I15" s="12">
        <v>0</v>
      </c>
      <c r="J15" s="12">
        <v>0</v>
      </c>
      <c r="K15" s="12">
        <v>9</v>
      </c>
      <c r="L15" s="12">
        <v>98</v>
      </c>
      <c r="M15" s="12">
        <v>0</v>
      </c>
      <c r="N15" s="12">
        <v>9</v>
      </c>
      <c r="O15" s="12">
        <v>9</v>
      </c>
      <c r="P15" s="12">
        <v>5</v>
      </c>
      <c r="Q15" s="12">
        <v>56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f t="shared" si="0"/>
        <v>488</v>
      </c>
    </row>
    <row r="16" spans="1:25" s="13" customFormat="1">
      <c r="A16" s="15" t="s">
        <v>30</v>
      </c>
      <c r="B16" s="15" t="s">
        <v>31</v>
      </c>
      <c r="C16" s="15">
        <v>6585058.0199999996</v>
      </c>
      <c r="D16" s="15">
        <v>344011.89</v>
      </c>
      <c r="E16" s="12">
        <v>84</v>
      </c>
      <c r="F16" s="12">
        <v>4</v>
      </c>
      <c r="G16" s="12">
        <v>0</v>
      </c>
      <c r="H16" s="12">
        <v>224</v>
      </c>
      <c r="I16" s="12">
        <v>0</v>
      </c>
      <c r="J16" s="12">
        <v>0</v>
      </c>
      <c r="K16" s="12">
        <v>10</v>
      </c>
      <c r="L16" s="12">
        <v>142</v>
      </c>
      <c r="M16" s="12">
        <v>1</v>
      </c>
      <c r="N16" s="12">
        <v>5</v>
      </c>
      <c r="O16" s="12">
        <v>20</v>
      </c>
      <c r="P16" s="12">
        <v>6</v>
      </c>
      <c r="Q16" s="12">
        <v>57</v>
      </c>
      <c r="R16" s="12">
        <v>0</v>
      </c>
      <c r="S16" s="12">
        <v>0</v>
      </c>
      <c r="T16" s="12">
        <v>0</v>
      </c>
      <c r="U16" s="12">
        <v>0</v>
      </c>
      <c r="V16" s="12">
        <v>1</v>
      </c>
      <c r="W16" s="12">
        <v>0</v>
      </c>
      <c r="X16" s="12">
        <f t="shared" si="0"/>
        <v>554</v>
      </c>
    </row>
    <row r="17" spans="1:24" s="13" customFormat="1">
      <c r="A17" s="15" t="s">
        <v>32</v>
      </c>
      <c r="B17" s="15" t="s">
        <v>33</v>
      </c>
      <c r="C17" s="15">
        <v>6585058.0199999996</v>
      </c>
      <c r="D17" s="15">
        <v>344011.89</v>
      </c>
      <c r="E17" s="12">
        <v>83</v>
      </c>
      <c r="F17" s="12">
        <v>20</v>
      </c>
      <c r="G17" s="12">
        <v>2</v>
      </c>
      <c r="H17" s="12">
        <v>142</v>
      </c>
      <c r="I17" s="12">
        <v>0</v>
      </c>
      <c r="J17" s="12">
        <v>0</v>
      </c>
      <c r="K17" s="12">
        <v>12</v>
      </c>
      <c r="L17" s="12">
        <v>165</v>
      </c>
      <c r="M17" s="12">
        <v>0</v>
      </c>
      <c r="N17" s="12">
        <v>3</v>
      </c>
      <c r="O17" s="12">
        <v>11</v>
      </c>
      <c r="P17" s="12">
        <v>5</v>
      </c>
      <c r="Q17" s="12">
        <v>50</v>
      </c>
      <c r="R17" s="12">
        <v>0</v>
      </c>
      <c r="S17" s="12">
        <v>0</v>
      </c>
      <c r="T17" s="12">
        <v>0</v>
      </c>
      <c r="U17" s="12">
        <v>0</v>
      </c>
      <c r="V17" s="12">
        <v>1</v>
      </c>
      <c r="W17" s="12">
        <v>0</v>
      </c>
      <c r="X17" s="12">
        <f t="shared" si="0"/>
        <v>494</v>
      </c>
    </row>
    <row r="18" spans="1:24">
      <c r="A18" s="15" t="s">
        <v>34</v>
      </c>
      <c r="B18" s="15" t="s">
        <v>35</v>
      </c>
      <c r="C18" s="15">
        <v>6584577.7000000002</v>
      </c>
      <c r="D18" s="15">
        <v>343202.7</v>
      </c>
      <c r="E18" s="12">
        <v>67</v>
      </c>
      <c r="F18" s="12">
        <v>9</v>
      </c>
      <c r="G18" s="12">
        <v>0</v>
      </c>
      <c r="H18" s="12">
        <v>132</v>
      </c>
      <c r="I18" s="12">
        <v>0</v>
      </c>
      <c r="J18" s="12">
        <v>0</v>
      </c>
      <c r="K18" s="12">
        <v>88</v>
      </c>
      <c r="L18" s="12">
        <v>125</v>
      </c>
      <c r="M18" s="12">
        <v>1</v>
      </c>
      <c r="N18" s="12">
        <v>0</v>
      </c>
      <c r="O18" s="12">
        <v>19</v>
      </c>
      <c r="P18" s="12">
        <v>4</v>
      </c>
      <c r="Q18" s="12">
        <v>70</v>
      </c>
      <c r="R18" s="12">
        <v>0</v>
      </c>
      <c r="S18" s="12">
        <v>0</v>
      </c>
      <c r="T18" s="12">
        <v>0</v>
      </c>
      <c r="U18" s="12">
        <v>0</v>
      </c>
      <c r="V18" s="12">
        <v>1</v>
      </c>
      <c r="W18" s="12">
        <v>0</v>
      </c>
      <c r="X18" s="12">
        <f t="shared" si="0"/>
        <v>516</v>
      </c>
    </row>
    <row r="19" spans="1:24">
      <c r="A19" s="15" t="s">
        <v>36</v>
      </c>
      <c r="B19" s="15" t="s">
        <v>37</v>
      </c>
      <c r="C19" s="15">
        <v>6584210.9000000004</v>
      </c>
      <c r="D19" s="15">
        <v>342756.7</v>
      </c>
      <c r="E19" s="12">
        <v>23</v>
      </c>
      <c r="F19" s="12">
        <v>2</v>
      </c>
      <c r="G19" s="12">
        <v>0</v>
      </c>
      <c r="H19" s="12">
        <f>17+84</f>
        <v>101</v>
      </c>
      <c r="I19" s="12">
        <v>0</v>
      </c>
      <c r="J19" s="12">
        <v>0</v>
      </c>
      <c r="K19" s="12">
        <v>208</v>
      </c>
      <c r="L19" s="12">
        <v>78</v>
      </c>
      <c r="M19" s="12">
        <v>0</v>
      </c>
      <c r="N19" s="12">
        <v>83</v>
      </c>
      <c r="O19" s="12">
        <v>9</v>
      </c>
      <c r="P19" s="12">
        <v>1</v>
      </c>
      <c r="Q19" s="12">
        <v>43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f t="shared" si="0"/>
        <v>548</v>
      </c>
    </row>
    <row r="20" spans="1:24">
      <c r="A20" s="15" t="s">
        <v>38</v>
      </c>
      <c r="B20" s="15" t="s">
        <v>39</v>
      </c>
      <c r="C20" s="15">
        <v>6585006.5999999996</v>
      </c>
      <c r="D20" s="15">
        <v>342433.4</v>
      </c>
      <c r="E20" s="12">
        <f>9+35</f>
        <v>44</v>
      </c>
      <c r="F20" s="12">
        <v>5</v>
      </c>
      <c r="G20" s="12">
        <v>0</v>
      </c>
      <c r="H20" s="12">
        <v>167</v>
      </c>
      <c r="I20" s="12">
        <v>0</v>
      </c>
      <c r="J20" s="12">
        <v>0</v>
      </c>
      <c r="K20" s="12">
        <v>3</v>
      </c>
      <c r="L20" s="12">
        <v>191</v>
      </c>
      <c r="M20" s="12">
        <v>0</v>
      </c>
      <c r="N20" s="12">
        <v>53</v>
      </c>
      <c r="O20" s="12">
        <v>5</v>
      </c>
      <c r="P20" s="12">
        <v>1</v>
      </c>
      <c r="Q20" s="12">
        <f>16+36</f>
        <v>52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f t="shared" si="0"/>
        <v>521</v>
      </c>
    </row>
    <row r="21" spans="1:24">
      <c r="A21" s="15" t="s">
        <v>40</v>
      </c>
      <c r="B21" s="15" t="s">
        <v>41</v>
      </c>
      <c r="C21" s="15">
        <v>6585646.9000000004</v>
      </c>
      <c r="D21" s="15">
        <v>343175.7</v>
      </c>
      <c r="E21" s="12">
        <v>27</v>
      </c>
      <c r="F21" s="12">
        <v>5</v>
      </c>
      <c r="G21" s="12">
        <v>0</v>
      </c>
      <c r="H21" s="12">
        <f>187+4</f>
        <v>191</v>
      </c>
      <c r="I21" s="12">
        <v>0</v>
      </c>
      <c r="J21" s="12">
        <v>0</v>
      </c>
      <c r="K21" s="12">
        <v>5</v>
      </c>
      <c r="L21" s="12">
        <v>89</v>
      </c>
      <c r="M21" s="12">
        <v>5</v>
      </c>
      <c r="N21" s="12">
        <v>82</v>
      </c>
      <c r="O21" s="12">
        <v>10</v>
      </c>
      <c r="P21" s="12">
        <v>4</v>
      </c>
      <c r="Q21" s="12">
        <v>39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1</v>
      </c>
      <c r="X21" s="12">
        <f t="shared" si="0"/>
        <v>458</v>
      </c>
    </row>
    <row r="22" spans="1:24">
      <c r="A22" s="15" t="s">
        <v>42</v>
      </c>
      <c r="B22" s="15" t="s">
        <v>43</v>
      </c>
      <c r="C22" s="15">
        <v>6587679</v>
      </c>
      <c r="D22" s="15">
        <v>345346</v>
      </c>
      <c r="E22" s="12">
        <f>47+23</f>
        <v>70</v>
      </c>
      <c r="F22" s="12">
        <v>12</v>
      </c>
      <c r="G22" s="12">
        <v>0</v>
      </c>
      <c r="H22" s="12">
        <f>154+32</f>
        <v>186</v>
      </c>
      <c r="I22" s="12">
        <v>0</v>
      </c>
      <c r="J22" s="12">
        <v>0</v>
      </c>
      <c r="K22" s="12">
        <v>1</v>
      </c>
      <c r="L22" s="12">
        <f>80+58</f>
        <v>138</v>
      </c>
      <c r="M22" s="12">
        <v>0</v>
      </c>
      <c r="N22" s="12">
        <f>54+29</f>
        <v>83</v>
      </c>
      <c r="O22" s="12">
        <v>7</v>
      </c>
      <c r="P22" s="12">
        <v>4</v>
      </c>
      <c r="Q22" s="12">
        <f>43+8</f>
        <v>51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1</v>
      </c>
      <c r="X22" s="12">
        <f t="shared" si="0"/>
        <v>553</v>
      </c>
    </row>
    <row r="23" spans="1:24">
      <c r="A23" s="15" t="s">
        <v>44</v>
      </c>
      <c r="B23" s="15" t="s">
        <v>45</v>
      </c>
      <c r="C23" s="15">
        <v>6586902</v>
      </c>
      <c r="D23" s="15">
        <v>344191</v>
      </c>
      <c r="E23" s="12">
        <v>47</v>
      </c>
      <c r="F23" s="12">
        <v>1</v>
      </c>
      <c r="G23" s="12">
        <v>0</v>
      </c>
      <c r="H23" s="12">
        <v>152</v>
      </c>
      <c r="I23" s="12">
        <v>0</v>
      </c>
      <c r="J23" s="12">
        <v>0</v>
      </c>
      <c r="K23" s="12">
        <v>5</v>
      </c>
      <c r="L23" s="12">
        <v>152</v>
      </c>
      <c r="M23" s="12">
        <v>0</v>
      </c>
      <c r="N23" s="12">
        <v>8</v>
      </c>
      <c r="O23" s="12">
        <v>12</v>
      </c>
      <c r="P23" s="12">
        <v>1</v>
      </c>
      <c r="Q23" s="12">
        <v>30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f t="shared" si="0"/>
        <v>408</v>
      </c>
    </row>
    <row r="24" spans="1:24">
      <c r="A24" s="15" t="s">
        <v>46</v>
      </c>
      <c r="B24" s="15" t="s">
        <v>47</v>
      </c>
      <c r="C24" s="15">
        <v>6579434.2999999998</v>
      </c>
      <c r="D24" s="15">
        <v>341857.4</v>
      </c>
      <c r="E24" s="12">
        <v>78</v>
      </c>
      <c r="F24" s="12">
        <v>8</v>
      </c>
      <c r="G24" s="12">
        <v>3</v>
      </c>
      <c r="H24" s="12">
        <v>210</v>
      </c>
      <c r="I24" s="12">
        <v>2</v>
      </c>
      <c r="J24" s="12">
        <v>1</v>
      </c>
      <c r="K24" s="12">
        <v>12</v>
      </c>
      <c r="L24" s="12">
        <v>75</v>
      </c>
      <c r="M24" s="12">
        <v>0</v>
      </c>
      <c r="N24" s="12">
        <v>0</v>
      </c>
      <c r="O24" s="12">
        <v>20</v>
      </c>
      <c r="P24" s="12">
        <v>0</v>
      </c>
      <c r="Q24" s="12">
        <v>47</v>
      </c>
      <c r="R24" s="12">
        <v>0</v>
      </c>
      <c r="S24" s="12">
        <v>0</v>
      </c>
      <c r="T24" s="12">
        <v>0</v>
      </c>
      <c r="U24" s="12">
        <v>0</v>
      </c>
      <c r="V24" s="12">
        <v>1</v>
      </c>
      <c r="W24" s="12">
        <v>0</v>
      </c>
      <c r="X24" s="12">
        <f t="shared" si="0"/>
        <v>457</v>
      </c>
    </row>
    <row r="25" spans="1:24">
      <c r="A25" s="15" t="s">
        <v>48</v>
      </c>
      <c r="B25" s="15" t="s">
        <v>49</v>
      </c>
      <c r="C25" s="15">
        <v>6579618.9000000004</v>
      </c>
      <c r="D25" s="15">
        <v>342074.8</v>
      </c>
      <c r="E25" s="12">
        <v>76</v>
      </c>
      <c r="F25" s="12">
        <v>7</v>
      </c>
      <c r="G25" s="12">
        <v>0</v>
      </c>
      <c r="H25" s="12">
        <v>154</v>
      </c>
      <c r="I25" s="12">
        <v>51</v>
      </c>
      <c r="J25" s="12">
        <v>0</v>
      </c>
      <c r="K25" s="12">
        <v>125</v>
      </c>
      <c r="L25" s="12">
        <f>17+56</f>
        <v>73</v>
      </c>
      <c r="M25" s="12">
        <v>0</v>
      </c>
      <c r="N25" s="12">
        <v>0</v>
      </c>
      <c r="O25" s="12">
        <v>4</v>
      </c>
      <c r="P25" s="12">
        <v>0</v>
      </c>
      <c r="Q25" s="12">
        <f>9+25</f>
        <v>34</v>
      </c>
      <c r="R25" s="12">
        <v>0</v>
      </c>
      <c r="S25" s="12">
        <v>0</v>
      </c>
      <c r="T25" s="12">
        <v>0</v>
      </c>
      <c r="U25" s="12">
        <v>0</v>
      </c>
      <c r="V25" s="12">
        <v>1</v>
      </c>
      <c r="W25" s="12">
        <v>0</v>
      </c>
      <c r="X25" s="12">
        <f t="shared" si="0"/>
        <v>525</v>
      </c>
    </row>
    <row r="26" spans="1:24">
      <c r="A26" s="15" t="s">
        <v>50</v>
      </c>
      <c r="B26" s="15" t="s">
        <v>51</v>
      </c>
      <c r="C26" s="15">
        <v>6580290.5</v>
      </c>
      <c r="D26" s="15">
        <v>343856</v>
      </c>
      <c r="E26" s="12">
        <v>139</v>
      </c>
      <c r="F26" s="12">
        <v>11</v>
      </c>
      <c r="G26" s="12">
        <v>0</v>
      </c>
      <c r="H26" s="12">
        <v>246</v>
      </c>
      <c r="I26" s="12">
        <v>6</v>
      </c>
      <c r="J26" s="12">
        <v>0</v>
      </c>
      <c r="K26" s="12">
        <v>3</v>
      </c>
      <c r="L26" s="12">
        <v>63</v>
      </c>
      <c r="M26" s="12">
        <v>0</v>
      </c>
      <c r="N26" s="12">
        <v>0</v>
      </c>
      <c r="O26" s="12">
        <v>16</v>
      </c>
      <c r="P26" s="12">
        <v>3</v>
      </c>
      <c r="Q26" s="12">
        <v>60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1</v>
      </c>
      <c r="X26" s="12">
        <f t="shared" si="0"/>
        <v>548</v>
      </c>
    </row>
    <row r="27" spans="1:24">
      <c r="A27" s="15" t="s">
        <v>52</v>
      </c>
      <c r="B27" s="15" t="s">
        <v>53</v>
      </c>
      <c r="C27" s="15">
        <v>6585399</v>
      </c>
      <c r="D27" s="15">
        <v>346667</v>
      </c>
      <c r="E27" s="12">
        <v>136</v>
      </c>
      <c r="F27" s="12">
        <v>19</v>
      </c>
      <c r="G27" s="12">
        <v>1</v>
      </c>
      <c r="H27" s="12">
        <v>152</v>
      </c>
      <c r="I27" s="12">
        <v>0</v>
      </c>
      <c r="J27" s="12">
        <v>0</v>
      </c>
      <c r="K27" s="12">
        <v>3</v>
      </c>
      <c r="L27" s="12">
        <v>112</v>
      </c>
      <c r="M27" s="12">
        <v>0</v>
      </c>
      <c r="N27" s="12">
        <v>6</v>
      </c>
      <c r="O27" s="12">
        <v>10</v>
      </c>
      <c r="P27" s="12">
        <v>5</v>
      </c>
      <c r="Q27" s="12">
        <v>60</v>
      </c>
      <c r="R27" s="12">
        <v>2</v>
      </c>
      <c r="S27" s="12">
        <v>0</v>
      </c>
      <c r="T27" s="12">
        <v>0</v>
      </c>
      <c r="U27" s="12">
        <v>0</v>
      </c>
      <c r="V27" s="12">
        <v>1</v>
      </c>
      <c r="W27" s="12">
        <v>0</v>
      </c>
      <c r="X27" s="12">
        <f t="shared" si="0"/>
        <v>507</v>
      </c>
    </row>
    <row r="28" spans="1:24">
      <c r="A28" s="15" t="s">
        <v>54</v>
      </c>
      <c r="B28" s="15" t="s">
        <v>55</v>
      </c>
      <c r="C28" s="15">
        <v>6585134</v>
      </c>
      <c r="D28" s="15">
        <v>345433</v>
      </c>
      <c r="E28" s="12">
        <v>216</v>
      </c>
      <c r="F28" s="12">
        <v>8</v>
      </c>
      <c r="G28" s="12">
        <v>1</v>
      </c>
      <c r="H28" s="12">
        <v>52</v>
      </c>
      <c r="I28" s="12">
        <v>0</v>
      </c>
      <c r="J28" s="12">
        <v>0</v>
      </c>
      <c r="K28" s="12">
        <v>0</v>
      </c>
      <c r="L28" s="12">
        <v>125</v>
      </c>
      <c r="M28" s="12">
        <v>0</v>
      </c>
      <c r="N28" s="12">
        <v>3</v>
      </c>
      <c r="O28" s="12">
        <v>6</v>
      </c>
      <c r="P28" s="12">
        <v>2</v>
      </c>
      <c r="Q28" s="12">
        <v>69</v>
      </c>
      <c r="R28" s="12">
        <v>1</v>
      </c>
      <c r="S28" s="12">
        <v>0</v>
      </c>
      <c r="T28" s="12">
        <v>0</v>
      </c>
      <c r="U28" s="12">
        <v>0</v>
      </c>
      <c r="V28" s="12">
        <v>1</v>
      </c>
      <c r="W28" s="12">
        <v>0</v>
      </c>
      <c r="X28" s="12">
        <f t="shared" si="0"/>
        <v>484</v>
      </c>
    </row>
    <row r="29" spans="1:24">
      <c r="A29" s="15" t="s">
        <v>56</v>
      </c>
      <c r="B29" s="15" t="s">
        <v>57</v>
      </c>
      <c r="C29" s="15">
        <v>6586118.5999999996</v>
      </c>
      <c r="D29" s="15">
        <v>343169.3</v>
      </c>
      <c r="E29" s="12">
        <v>5</v>
      </c>
      <c r="F29" s="12">
        <v>10</v>
      </c>
      <c r="G29" s="12">
        <v>0</v>
      </c>
      <c r="H29" s="12">
        <v>246</v>
      </c>
      <c r="I29" s="12">
        <v>0</v>
      </c>
      <c r="J29" s="12">
        <v>0</v>
      </c>
      <c r="K29" s="12">
        <v>3</v>
      </c>
      <c r="L29" s="12">
        <v>81</v>
      </c>
      <c r="M29" s="12">
        <v>0</v>
      </c>
      <c r="N29" s="12">
        <v>0</v>
      </c>
      <c r="O29" s="12">
        <v>43</v>
      </c>
      <c r="P29" s="12">
        <v>3</v>
      </c>
      <c r="Q29" s="12">
        <v>31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1</v>
      </c>
      <c r="X29" s="12">
        <f t="shared" si="0"/>
        <v>423</v>
      </c>
    </row>
    <row r="30" spans="1:24">
      <c r="A30" s="15" t="s">
        <v>58</v>
      </c>
      <c r="B30" s="15" t="s">
        <v>59</v>
      </c>
      <c r="C30" s="15">
        <v>6587819.5</v>
      </c>
      <c r="D30" s="15">
        <v>353653.5</v>
      </c>
      <c r="E30" s="12">
        <v>111</v>
      </c>
      <c r="F30" s="12">
        <v>6</v>
      </c>
      <c r="G30" s="12">
        <v>0</v>
      </c>
      <c r="H30" s="12">
        <f>55+89</f>
        <v>144</v>
      </c>
      <c r="I30" s="12">
        <v>1</v>
      </c>
      <c r="J30" s="12">
        <v>0</v>
      </c>
      <c r="K30" s="12">
        <v>9</v>
      </c>
      <c r="L30" s="12">
        <v>64</v>
      </c>
      <c r="M30" s="12">
        <v>0</v>
      </c>
      <c r="N30" s="12">
        <v>0</v>
      </c>
      <c r="O30" s="12">
        <v>7</v>
      </c>
      <c r="P30" s="12">
        <v>10</v>
      </c>
      <c r="Q30" s="12">
        <v>52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f t="shared" si="0"/>
        <v>404</v>
      </c>
    </row>
    <row r="31" spans="1:24">
      <c r="A31" s="15" t="s">
        <v>60</v>
      </c>
      <c r="B31" s="15" t="s">
        <v>61</v>
      </c>
      <c r="C31" s="15">
        <v>6586764.2999999998</v>
      </c>
      <c r="D31" s="15">
        <v>352329.3</v>
      </c>
      <c r="E31" s="12">
        <v>99</v>
      </c>
      <c r="F31" s="12">
        <v>0</v>
      </c>
      <c r="G31" s="12">
        <v>0</v>
      </c>
      <c r="H31" s="12">
        <v>132</v>
      </c>
      <c r="I31" s="12">
        <v>1</v>
      </c>
      <c r="J31" s="12">
        <v>0</v>
      </c>
      <c r="K31" s="12">
        <v>24</v>
      </c>
      <c r="L31" s="12">
        <v>117</v>
      </c>
      <c r="M31" s="12">
        <v>0</v>
      </c>
      <c r="N31" s="12">
        <v>4</v>
      </c>
      <c r="O31" s="12">
        <v>3</v>
      </c>
      <c r="P31" s="12">
        <v>7</v>
      </c>
      <c r="Q31" s="12">
        <v>40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f t="shared" si="0"/>
        <v>427</v>
      </c>
    </row>
    <row r="32" spans="1:24">
      <c r="A32" s="15" t="s">
        <v>62</v>
      </c>
      <c r="B32" s="15" t="s">
        <v>63</v>
      </c>
      <c r="C32" s="15">
        <v>6585790</v>
      </c>
      <c r="D32" s="15">
        <v>344014</v>
      </c>
      <c r="E32" s="12">
        <v>58</v>
      </c>
      <c r="F32" s="12">
        <v>3</v>
      </c>
      <c r="G32" s="12">
        <v>0</v>
      </c>
      <c r="H32" s="12">
        <v>173</v>
      </c>
      <c r="I32" s="12">
        <v>0</v>
      </c>
      <c r="J32" s="12">
        <v>0</v>
      </c>
      <c r="K32" s="12">
        <v>8</v>
      </c>
      <c r="L32" s="12">
        <f>94+2</f>
        <v>96</v>
      </c>
      <c r="M32" s="12">
        <v>1</v>
      </c>
      <c r="N32" s="12">
        <v>10</v>
      </c>
      <c r="O32" s="12">
        <v>8</v>
      </c>
      <c r="P32" s="12">
        <v>6</v>
      </c>
      <c r="Q32" s="12">
        <v>47</v>
      </c>
      <c r="R32" s="12">
        <v>0</v>
      </c>
      <c r="S32" s="12">
        <v>0</v>
      </c>
      <c r="T32" s="12">
        <v>0</v>
      </c>
      <c r="U32" s="12">
        <v>0</v>
      </c>
      <c r="V32" s="12">
        <v>1</v>
      </c>
      <c r="W32" s="12">
        <v>0</v>
      </c>
      <c r="X32" s="12">
        <f t="shared" si="0"/>
        <v>411</v>
      </c>
    </row>
    <row r="33" spans="1:24">
      <c r="A33" s="15" t="s">
        <v>64</v>
      </c>
      <c r="B33" s="15" t="s">
        <v>65</v>
      </c>
      <c r="C33" s="15">
        <v>6579240.2000000002</v>
      </c>
      <c r="D33" s="15">
        <v>341497.8</v>
      </c>
      <c r="E33" s="12">
        <v>97</v>
      </c>
      <c r="F33" s="12">
        <v>9</v>
      </c>
      <c r="G33" s="12">
        <v>0</v>
      </c>
      <c r="H33" s="12">
        <v>228</v>
      </c>
      <c r="I33" s="12">
        <v>2</v>
      </c>
      <c r="J33" s="12">
        <v>0</v>
      </c>
      <c r="K33" s="12">
        <v>13</v>
      </c>
      <c r="L33" s="12">
        <v>132</v>
      </c>
      <c r="M33" s="12">
        <v>0</v>
      </c>
      <c r="N33" s="12">
        <v>0</v>
      </c>
      <c r="O33" s="12">
        <v>13</v>
      </c>
      <c r="P33" s="12">
        <v>4</v>
      </c>
      <c r="Q33" s="12">
        <v>45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f t="shared" si="0"/>
        <v>543</v>
      </c>
    </row>
    <row r="34" spans="1:24" s="13" customFormat="1">
      <c r="A34" s="15" t="s">
        <v>66</v>
      </c>
      <c r="B34" s="15" t="s">
        <v>67</v>
      </c>
      <c r="C34" s="15">
        <v>6579158</v>
      </c>
      <c r="D34" s="15">
        <v>341781.4</v>
      </c>
      <c r="E34" s="12">
        <v>155</v>
      </c>
      <c r="F34" s="12">
        <v>6</v>
      </c>
      <c r="G34" s="12">
        <v>0</v>
      </c>
      <c r="H34" s="12">
        <v>209</v>
      </c>
      <c r="I34" s="12">
        <v>4</v>
      </c>
      <c r="J34" s="12">
        <v>0</v>
      </c>
      <c r="K34" s="12">
        <v>8</v>
      </c>
      <c r="L34" s="12">
        <v>119</v>
      </c>
      <c r="M34" s="12">
        <v>2</v>
      </c>
      <c r="N34" s="12">
        <v>0</v>
      </c>
      <c r="O34" s="12">
        <v>12</v>
      </c>
      <c r="P34" s="12">
        <v>3</v>
      </c>
      <c r="Q34" s="12">
        <v>30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f t="shared" si="0"/>
        <v>548</v>
      </c>
    </row>
    <row r="35" spans="1:24" s="13" customFormat="1">
      <c r="A35" s="15" t="s">
        <v>68</v>
      </c>
      <c r="B35" s="15" t="s">
        <v>69</v>
      </c>
      <c r="C35" s="15">
        <v>6579164.2999999998</v>
      </c>
      <c r="D35" s="15">
        <v>342054.5</v>
      </c>
      <c r="E35" s="12">
        <v>63</v>
      </c>
      <c r="F35" s="12">
        <v>10</v>
      </c>
      <c r="G35" s="12">
        <v>1</v>
      </c>
      <c r="H35" s="12">
        <v>219</v>
      </c>
      <c r="I35" s="12">
        <v>2</v>
      </c>
      <c r="J35" s="12">
        <v>0</v>
      </c>
      <c r="K35" s="12">
        <v>10</v>
      </c>
      <c r="L35" s="12">
        <v>101</v>
      </c>
      <c r="M35" s="12">
        <v>0</v>
      </c>
      <c r="N35" s="12">
        <v>0</v>
      </c>
      <c r="O35" s="12">
        <v>18</v>
      </c>
      <c r="P35" s="12">
        <v>5</v>
      </c>
      <c r="Q35" s="12">
        <v>41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1</v>
      </c>
      <c r="X35" s="12">
        <f t="shared" si="0"/>
        <v>471</v>
      </c>
    </row>
    <row r="36" spans="1:24" s="13" customFormat="1">
      <c r="A36" s="15" t="s">
        <v>70</v>
      </c>
      <c r="B36" s="15" t="s">
        <v>71</v>
      </c>
      <c r="C36" s="15">
        <v>6579181</v>
      </c>
      <c r="D36" s="15">
        <v>342236.9</v>
      </c>
      <c r="E36" s="12">
        <v>133</v>
      </c>
      <c r="F36" s="12">
        <v>15</v>
      </c>
      <c r="G36" s="12">
        <v>3</v>
      </c>
      <c r="H36" s="12">
        <v>196</v>
      </c>
      <c r="I36" s="12">
        <v>12</v>
      </c>
      <c r="J36" s="12">
        <v>0</v>
      </c>
      <c r="K36" s="12">
        <v>11</v>
      </c>
      <c r="L36" s="12">
        <v>62</v>
      </c>
      <c r="M36" s="12">
        <v>0</v>
      </c>
      <c r="N36" s="12">
        <v>0</v>
      </c>
      <c r="O36" s="12">
        <v>32</v>
      </c>
      <c r="P36" s="12">
        <v>3</v>
      </c>
      <c r="Q36" s="12">
        <v>39</v>
      </c>
      <c r="R36" s="12">
        <v>0</v>
      </c>
      <c r="S36" s="12">
        <v>0</v>
      </c>
      <c r="T36" s="12">
        <v>0</v>
      </c>
      <c r="U36" s="12">
        <v>1</v>
      </c>
      <c r="V36" s="12">
        <v>1</v>
      </c>
      <c r="W36" s="12">
        <v>0</v>
      </c>
      <c r="X36" s="12">
        <f t="shared" si="0"/>
        <v>508</v>
      </c>
    </row>
    <row r="37" spans="1:24" s="13" customFormat="1">
      <c r="A37" s="15" t="s">
        <v>72</v>
      </c>
      <c r="B37" s="15" t="s">
        <v>73</v>
      </c>
      <c r="C37" s="15">
        <v>6579332.4000000004</v>
      </c>
      <c r="D37" s="15">
        <v>342206.7</v>
      </c>
      <c r="E37" s="12">
        <v>85</v>
      </c>
      <c r="F37" s="12">
        <v>6</v>
      </c>
      <c r="G37" s="12">
        <v>1</v>
      </c>
      <c r="H37" s="12">
        <v>246</v>
      </c>
      <c r="I37" s="12">
        <v>4</v>
      </c>
      <c r="J37" s="12">
        <v>0</v>
      </c>
      <c r="K37" s="12">
        <v>4</v>
      </c>
      <c r="L37" s="12">
        <v>137</v>
      </c>
      <c r="M37" s="12">
        <v>0</v>
      </c>
      <c r="N37" s="12">
        <v>0</v>
      </c>
      <c r="O37" s="12">
        <v>11</v>
      </c>
      <c r="P37" s="12">
        <v>0</v>
      </c>
      <c r="Q37" s="12">
        <v>37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1</v>
      </c>
      <c r="X37" s="12">
        <f t="shared" si="0"/>
        <v>532</v>
      </c>
    </row>
    <row r="38" spans="1:24" s="13" customFormat="1">
      <c r="A38" s="15" t="s">
        <v>74</v>
      </c>
      <c r="B38" s="15" t="s">
        <v>75</v>
      </c>
      <c r="C38" s="15">
        <v>6579319.7999999998</v>
      </c>
      <c r="D38" s="15">
        <v>342002.5</v>
      </c>
      <c r="E38" s="12">
        <v>88</v>
      </c>
      <c r="F38" s="12">
        <v>11</v>
      </c>
      <c r="G38" s="12">
        <v>3</v>
      </c>
      <c r="H38" s="12">
        <v>217</v>
      </c>
      <c r="I38" s="12">
        <v>7</v>
      </c>
      <c r="J38" s="12">
        <v>0</v>
      </c>
      <c r="K38" s="12">
        <v>10</v>
      </c>
      <c r="L38" s="12">
        <v>86</v>
      </c>
      <c r="M38" s="12">
        <v>0</v>
      </c>
      <c r="N38" s="12">
        <v>0</v>
      </c>
      <c r="O38" s="12">
        <v>23</v>
      </c>
      <c r="P38" s="12">
        <v>8</v>
      </c>
      <c r="Q38" s="12">
        <v>38</v>
      </c>
      <c r="R38" s="12">
        <v>1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f t="shared" si="0"/>
        <v>492</v>
      </c>
    </row>
    <row r="39" spans="1:24" s="13" customFormat="1">
      <c r="A39" s="15" t="s">
        <v>76</v>
      </c>
      <c r="B39" s="15" t="s">
        <v>77</v>
      </c>
      <c r="C39" s="15">
        <v>6579713.2000000002</v>
      </c>
      <c r="D39" s="15">
        <v>342412.4</v>
      </c>
      <c r="E39" s="12">
        <v>109</v>
      </c>
      <c r="F39" s="12">
        <v>16</v>
      </c>
      <c r="G39" s="12">
        <v>3</v>
      </c>
      <c r="H39" s="12">
        <v>182</v>
      </c>
      <c r="I39" s="12">
        <v>6</v>
      </c>
      <c r="J39" s="12">
        <v>0</v>
      </c>
      <c r="K39" s="12">
        <v>9</v>
      </c>
      <c r="L39" s="12">
        <v>76</v>
      </c>
      <c r="M39" s="12">
        <v>0</v>
      </c>
      <c r="N39" s="12">
        <v>0</v>
      </c>
      <c r="O39" s="12">
        <v>29</v>
      </c>
      <c r="P39" s="12">
        <v>3</v>
      </c>
      <c r="Q39" s="12">
        <v>32</v>
      </c>
      <c r="R39" s="12">
        <v>0</v>
      </c>
      <c r="S39" s="12">
        <v>0</v>
      </c>
      <c r="T39" s="12">
        <v>0</v>
      </c>
      <c r="U39" s="12">
        <v>1</v>
      </c>
      <c r="V39" s="12">
        <v>0</v>
      </c>
      <c r="W39" s="12">
        <v>0</v>
      </c>
      <c r="X39" s="12">
        <f t="shared" si="0"/>
        <v>466</v>
      </c>
    </row>
    <row r="40" spans="1:24" s="13" customFormat="1">
      <c r="A40" s="15" t="s">
        <v>78</v>
      </c>
      <c r="B40" s="15" t="s">
        <v>79</v>
      </c>
      <c r="C40" s="15">
        <v>6579763.5</v>
      </c>
      <c r="D40" s="15">
        <v>341592.9</v>
      </c>
      <c r="E40" s="12">
        <v>56</v>
      </c>
      <c r="F40" s="12">
        <v>7</v>
      </c>
      <c r="G40" s="12">
        <v>5</v>
      </c>
      <c r="H40" s="12">
        <v>245</v>
      </c>
      <c r="I40" s="12">
        <v>16</v>
      </c>
      <c r="J40" s="12">
        <v>1</v>
      </c>
      <c r="K40" s="12">
        <v>10</v>
      </c>
      <c r="L40" s="12">
        <v>95</v>
      </c>
      <c r="M40" s="12">
        <v>2</v>
      </c>
      <c r="N40" s="12">
        <v>0</v>
      </c>
      <c r="O40" s="12">
        <v>12</v>
      </c>
      <c r="P40" s="12">
        <v>0</v>
      </c>
      <c r="Q40" s="12">
        <v>35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1</v>
      </c>
      <c r="X40" s="12">
        <f t="shared" si="0"/>
        <v>485</v>
      </c>
    </row>
    <row r="41" spans="1:24" s="13" customFormat="1">
      <c r="A41" s="15" t="s">
        <v>80</v>
      </c>
      <c r="B41" s="15" t="s">
        <v>81</v>
      </c>
      <c r="C41" s="15">
        <v>6579431</v>
      </c>
      <c r="D41" s="15">
        <v>342544</v>
      </c>
      <c r="E41" s="12">
        <v>54</v>
      </c>
      <c r="F41" s="12">
        <v>13</v>
      </c>
      <c r="G41" s="12">
        <v>2</v>
      </c>
      <c r="H41" s="12">
        <v>250</v>
      </c>
      <c r="I41" s="12">
        <v>9</v>
      </c>
      <c r="J41" s="12">
        <v>0</v>
      </c>
      <c r="K41" s="12">
        <v>8</v>
      </c>
      <c r="L41" s="12">
        <v>68</v>
      </c>
      <c r="M41" s="12">
        <v>3</v>
      </c>
      <c r="N41" s="12">
        <v>0</v>
      </c>
      <c r="O41" s="12">
        <v>20</v>
      </c>
      <c r="P41" s="12">
        <v>2</v>
      </c>
      <c r="Q41" s="12">
        <v>38</v>
      </c>
      <c r="R41" s="12">
        <v>0</v>
      </c>
      <c r="S41" s="12">
        <v>0</v>
      </c>
      <c r="T41" s="12">
        <v>0</v>
      </c>
      <c r="U41" s="12">
        <v>0</v>
      </c>
      <c r="V41" s="12">
        <v>1</v>
      </c>
      <c r="W41" s="12">
        <v>0</v>
      </c>
      <c r="X41" s="12">
        <f t="shared" si="0"/>
        <v>468</v>
      </c>
    </row>
    <row r="42" spans="1:24" s="13" customFormat="1">
      <c r="A42" s="15" t="s">
        <v>82</v>
      </c>
      <c r="B42" s="15" t="s">
        <v>83</v>
      </c>
      <c r="C42" s="15">
        <v>6585234.5999999996</v>
      </c>
      <c r="D42" s="15">
        <v>343449.9</v>
      </c>
      <c r="E42" s="12">
        <v>37</v>
      </c>
      <c r="F42" s="12">
        <v>1</v>
      </c>
      <c r="G42" s="12">
        <v>0</v>
      </c>
      <c r="H42" s="12">
        <v>131</v>
      </c>
      <c r="I42" s="12">
        <v>1</v>
      </c>
      <c r="J42" s="12">
        <v>0</v>
      </c>
      <c r="K42" s="12">
        <v>50</v>
      </c>
      <c r="L42" s="12">
        <v>92</v>
      </c>
      <c r="M42" s="12">
        <v>0</v>
      </c>
      <c r="N42" s="12">
        <v>7</v>
      </c>
      <c r="O42" s="12">
        <v>0</v>
      </c>
      <c r="P42" s="12">
        <v>4</v>
      </c>
      <c r="Q42" s="12">
        <v>52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f t="shared" si="0"/>
        <v>375</v>
      </c>
    </row>
    <row r="43" spans="1:24" s="13" customFormat="1">
      <c r="A43" s="15" t="s">
        <v>84</v>
      </c>
      <c r="B43" s="15" t="s">
        <v>85</v>
      </c>
      <c r="C43" s="15">
        <v>6579525.4000000004</v>
      </c>
      <c r="D43" s="15">
        <v>341986.3</v>
      </c>
      <c r="E43" s="12">
        <v>128</v>
      </c>
      <c r="F43" s="12">
        <v>6</v>
      </c>
      <c r="G43" s="12">
        <v>0</v>
      </c>
      <c r="H43" s="12">
        <v>180</v>
      </c>
      <c r="I43" s="12">
        <v>10</v>
      </c>
      <c r="J43" s="12">
        <v>0</v>
      </c>
      <c r="K43" s="12">
        <v>22</v>
      </c>
      <c r="L43" s="12">
        <v>154</v>
      </c>
      <c r="M43" s="12">
        <v>1</v>
      </c>
      <c r="N43" s="12">
        <v>0</v>
      </c>
      <c r="O43" s="12">
        <v>11</v>
      </c>
      <c r="P43" s="12"/>
      <c r="Q43" s="12">
        <v>53</v>
      </c>
      <c r="R43" s="12">
        <v>1</v>
      </c>
      <c r="S43" s="12">
        <v>1</v>
      </c>
      <c r="T43" s="12">
        <v>0</v>
      </c>
      <c r="U43" s="12">
        <v>0</v>
      </c>
      <c r="V43" s="12">
        <v>0</v>
      </c>
      <c r="W43" s="12">
        <v>0</v>
      </c>
      <c r="X43" s="12">
        <f t="shared" si="0"/>
        <v>567</v>
      </c>
    </row>
    <row r="44" spans="1:24" s="21" customFormat="1">
      <c r="A44" s="20"/>
      <c r="B44" s="20"/>
      <c r="C44" s="20"/>
      <c r="D44" s="20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</row>
    <row r="46" spans="1:24" s="17" customFormat="1">
      <c r="A46" s="23"/>
      <c r="B46" s="23"/>
      <c r="C46" s="15"/>
      <c r="D46" s="15"/>
    </row>
  </sheetData>
  <mergeCells count="8">
    <mergeCell ref="L1:P1"/>
    <mergeCell ref="R1:W1"/>
    <mergeCell ref="A1:A2"/>
    <mergeCell ref="B1:B2"/>
    <mergeCell ref="C1:C2"/>
    <mergeCell ref="D1:D2"/>
    <mergeCell ref="E1:H1"/>
    <mergeCell ref="I1:K1"/>
  </mergeCells>
  <printOptions gridLines="1"/>
  <pageMargins left="0.7" right="0.7" top="0.75" bottom="0.75" header="0.3" footer="0.3"/>
  <pageSetup paperSize="17" scale="90" orientation="landscape" r:id="rId1"/>
  <headerFooter>
    <oddFooter>Page &amp;P of &amp;N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Y47"/>
  <sheetViews>
    <sheetView workbookViewId="0">
      <pane ySplit="2" topLeftCell="A3" activePane="bottomLeft" state="frozen"/>
      <selection pane="bottomLeft" activeCell="A3" sqref="A3"/>
    </sheetView>
  </sheetViews>
  <sheetFormatPr defaultRowHeight="15"/>
  <cols>
    <col min="1" max="1" width="11" style="15" customWidth="1"/>
    <col min="2" max="2" width="11.42578125" style="15" customWidth="1"/>
    <col min="3" max="3" width="12.5703125" style="15" bestFit="1" customWidth="1"/>
    <col min="4" max="4" width="11.5703125" style="15" bestFit="1" customWidth="1"/>
    <col min="5" max="5" width="10.140625" style="12" customWidth="1"/>
    <col min="6" max="6" width="10.7109375" style="12" customWidth="1"/>
    <col min="7" max="7" width="8.85546875" style="12" customWidth="1"/>
    <col min="8" max="8" width="8.85546875" style="12" bestFit="1" customWidth="1"/>
    <col min="9" max="9" width="13" style="12" customWidth="1"/>
    <col min="10" max="10" width="11.85546875" style="12" customWidth="1"/>
    <col min="11" max="11" width="9" style="12" customWidth="1"/>
    <col min="12" max="12" width="8.85546875" style="12" customWidth="1"/>
    <col min="13" max="13" width="10.5703125" style="12" customWidth="1"/>
    <col min="14" max="15" width="10.7109375" style="12" customWidth="1"/>
    <col min="16" max="16" width="11.42578125" style="12" customWidth="1"/>
    <col min="17" max="17" width="8.5703125" style="12" bestFit="1" customWidth="1"/>
    <col min="18" max="19" width="8.5703125" style="12" customWidth="1"/>
    <col min="20" max="20" width="11.42578125" style="12" customWidth="1"/>
    <col min="21" max="21" width="5.85546875" style="12" customWidth="1"/>
    <col min="22" max="22" width="8.5703125" style="12" customWidth="1"/>
    <col min="23" max="23" width="18.28515625" style="12" customWidth="1"/>
    <col min="24" max="24" width="8.28515625" style="12" customWidth="1"/>
    <col min="25" max="16384" width="9.140625" style="14"/>
  </cols>
  <sheetData>
    <row r="1" spans="1:25" ht="19.5" thickBot="1">
      <c r="A1" s="27" t="s">
        <v>92</v>
      </c>
      <c r="B1" s="27" t="s">
        <v>93</v>
      </c>
      <c r="C1" s="29" t="s">
        <v>2</v>
      </c>
      <c r="D1" s="29" t="s">
        <v>3</v>
      </c>
      <c r="E1" s="24" t="s">
        <v>96</v>
      </c>
      <c r="F1" s="25"/>
      <c r="G1" s="25"/>
      <c r="H1" s="26"/>
      <c r="I1" s="24" t="s">
        <v>86</v>
      </c>
      <c r="J1" s="25"/>
      <c r="K1" s="26"/>
      <c r="L1" s="24" t="s">
        <v>97</v>
      </c>
      <c r="M1" s="25"/>
      <c r="N1" s="25"/>
      <c r="O1" s="25"/>
      <c r="P1" s="26"/>
      <c r="R1" s="24" t="s">
        <v>91</v>
      </c>
      <c r="S1" s="25"/>
      <c r="T1" s="25"/>
      <c r="U1" s="25"/>
      <c r="V1" s="25"/>
      <c r="W1" s="26"/>
      <c r="Y1" s="13"/>
    </row>
    <row r="2" spans="1:25" s="7" customFormat="1" ht="65.25" customHeight="1" thickBot="1">
      <c r="A2" s="28"/>
      <c r="B2" s="28"/>
      <c r="C2" s="30"/>
      <c r="D2" s="30"/>
      <c r="E2" s="8" t="s">
        <v>109</v>
      </c>
      <c r="F2" s="9" t="s">
        <v>94</v>
      </c>
      <c r="G2" s="9" t="s">
        <v>87</v>
      </c>
      <c r="H2" s="10" t="s">
        <v>95</v>
      </c>
      <c r="I2" s="8" t="s">
        <v>98</v>
      </c>
      <c r="J2" s="9" t="s">
        <v>99</v>
      </c>
      <c r="K2" s="10" t="s">
        <v>100</v>
      </c>
      <c r="L2" s="8" t="s">
        <v>102</v>
      </c>
      <c r="M2" s="9" t="s">
        <v>88</v>
      </c>
      <c r="N2" s="9" t="s">
        <v>101</v>
      </c>
      <c r="O2" s="9" t="s">
        <v>110</v>
      </c>
      <c r="P2" s="10" t="s">
        <v>89</v>
      </c>
      <c r="Q2" s="11" t="s">
        <v>90</v>
      </c>
      <c r="R2" s="8" t="s">
        <v>103</v>
      </c>
      <c r="S2" s="9" t="s">
        <v>111</v>
      </c>
      <c r="T2" s="9" t="s">
        <v>105</v>
      </c>
      <c r="U2" s="9" t="s">
        <v>106</v>
      </c>
      <c r="V2" s="9" t="s">
        <v>107</v>
      </c>
      <c r="W2" s="10" t="s">
        <v>108</v>
      </c>
      <c r="X2" s="11" t="s">
        <v>0</v>
      </c>
    </row>
    <row r="3" spans="1:25" s="13" customFormat="1">
      <c r="A3" s="15" t="s">
        <v>4</v>
      </c>
      <c r="B3" s="15" t="s">
        <v>5</v>
      </c>
      <c r="C3" s="15">
        <v>6581465</v>
      </c>
      <c r="D3" s="15">
        <v>346600</v>
      </c>
      <c r="E3" s="12">
        <f>'Table 19'!E3+'Table 20'!E3+'Table 21'!E3</f>
        <v>145</v>
      </c>
      <c r="F3" s="12">
        <f>'Table 19'!F3+'Table 20'!F3+'Table 21'!F3</f>
        <v>10</v>
      </c>
      <c r="G3" s="12">
        <f>'Table 19'!G3+'Table 20'!G3+'Table 21'!G3</f>
        <v>5</v>
      </c>
      <c r="H3" s="12">
        <f>'Table 19'!H3+'Table 20'!H3+'Table 21'!H3</f>
        <v>252</v>
      </c>
      <c r="I3" s="12">
        <f>'Table 19'!I3+'Table 20'!I3+'Table 21'!I3</f>
        <v>0</v>
      </c>
      <c r="J3" s="12">
        <f>'Table 19'!J3+'Table 20'!J3+'Table 21'!J3</f>
        <v>0</v>
      </c>
      <c r="K3" s="12">
        <f>'Table 19'!K3+'Table 20'!K3+'Table 21'!K3</f>
        <v>6</v>
      </c>
      <c r="L3" s="12">
        <f>'Table 19'!L3+'Table 20'!L3+'Table 21'!L3</f>
        <v>105</v>
      </c>
      <c r="M3" s="12">
        <f>'Table 19'!M3+'Table 20'!M3+'Table 21'!M3</f>
        <v>3</v>
      </c>
      <c r="N3" s="12">
        <f>'Table 19'!N3+'Table 20'!N3+'Table 21'!N3</f>
        <v>3</v>
      </c>
      <c r="O3" s="12">
        <f>'Table 19'!O3+'Table 20'!O3+'Table 21'!O3</f>
        <v>7</v>
      </c>
      <c r="P3" s="12">
        <f>'Table 19'!P3+'Table 20'!P3+'Table 21'!P3</f>
        <v>6</v>
      </c>
      <c r="Q3" s="12">
        <f>'Table 19'!Q3+'Table 20'!Q3+'Table 21'!Q3</f>
        <v>43</v>
      </c>
      <c r="R3" s="12">
        <f>'Table 19'!R3+'Table 20'!R3+'Table 21'!R3</f>
        <v>2</v>
      </c>
      <c r="S3" s="12">
        <f>'Table 19'!S3+'Table 20'!S3+'Table 21'!S3</f>
        <v>0</v>
      </c>
      <c r="T3" s="12">
        <f>'Table 19'!T3+'Table 20'!T3+'Table 21'!T3</f>
        <v>0</v>
      </c>
      <c r="U3" s="12">
        <f>'Table 19'!U3+'Table 20'!U3+'Table 21'!U3</f>
        <v>1</v>
      </c>
      <c r="V3" s="12">
        <f>'Table 19'!V3+'Table 20'!V3+'Table 21'!V3</f>
        <v>0</v>
      </c>
      <c r="W3" s="12">
        <f>'Table 19'!W3+'Table 20'!W3+'Table 21'!W3</f>
        <v>0</v>
      </c>
      <c r="X3" s="12">
        <f>SUM(E3:W3)</f>
        <v>588</v>
      </c>
    </row>
    <row r="4" spans="1:25" s="13" customFormat="1">
      <c r="A4" s="15" t="s">
        <v>6</v>
      </c>
      <c r="B4" s="15" t="s">
        <v>7</v>
      </c>
      <c r="C4" s="15">
        <v>6581542.75</v>
      </c>
      <c r="D4" s="15">
        <v>347517.37</v>
      </c>
      <c r="E4" s="12">
        <f>'Table 19'!E4+'Table 20'!E4+'Table 21'!E4</f>
        <v>210</v>
      </c>
      <c r="F4" s="12">
        <f>'Table 19'!F4+'Table 20'!F4+'Table 21'!F4</f>
        <v>15</v>
      </c>
      <c r="G4" s="12">
        <f>'Table 19'!G4+'Table 20'!G4+'Table 21'!G4</f>
        <v>3</v>
      </c>
      <c r="H4" s="12">
        <f>'Table 19'!H4+'Table 20'!H4+'Table 21'!H4</f>
        <v>221</v>
      </c>
      <c r="I4" s="12">
        <f>'Table 19'!I4+'Table 20'!I4+'Table 21'!I4</f>
        <v>0</v>
      </c>
      <c r="J4" s="12">
        <f>'Table 19'!J4+'Table 20'!J4+'Table 21'!J4</f>
        <v>0</v>
      </c>
      <c r="K4" s="12">
        <f>'Table 19'!K4+'Table 20'!K4+'Table 21'!K4</f>
        <v>2</v>
      </c>
      <c r="L4" s="12">
        <f>'Table 19'!L4+'Table 20'!L4+'Table 21'!L4</f>
        <v>157</v>
      </c>
      <c r="M4" s="12">
        <f>'Table 19'!M4+'Table 20'!M4+'Table 21'!M4</f>
        <v>1</v>
      </c>
      <c r="N4" s="12">
        <f>'Table 19'!N4+'Table 20'!N4+'Table 21'!N4</f>
        <v>3</v>
      </c>
      <c r="O4" s="12">
        <f>'Table 19'!O4+'Table 20'!O4+'Table 21'!O4</f>
        <v>18</v>
      </c>
      <c r="P4" s="12">
        <f>'Table 19'!P4+'Table 20'!P4+'Table 21'!P4</f>
        <v>10</v>
      </c>
      <c r="Q4" s="12">
        <f>'Table 19'!Q4+'Table 20'!Q4+'Table 21'!Q4</f>
        <v>45</v>
      </c>
      <c r="R4" s="12">
        <f>'Table 19'!R4+'Table 20'!R4+'Table 21'!R4</f>
        <v>0</v>
      </c>
      <c r="S4" s="12">
        <f>'Table 19'!S4+'Table 20'!S4+'Table 21'!S4</f>
        <v>0</v>
      </c>
      <c r="T4" s="12">
        <f>'Table 19'!T4+'Table 20'!T4+'Table 21'!T4</f>
        <v>0</v>
      </c>
      <c r="U4" s="12">
        <f>'Table 19'!U4+'Table 20'!U4+'Table 21'!U4</f>
        <v>0</v>
      </c>
      <c r="V4" s="12">
        <f>'Table 19'!V4+'Table 20'!V4+'Table 21'!V4</f>
        <v>0</v>
      </c>
      <c r="W4" s="12">
        <f>'Table 19'!W4+'Table 20'!W4+'Table 21'!W4</f>
        <v>1</v>
      </c>
      <c r="X4" s="12">
        <f>SUM(E4:W4)</f>
        <v>686</v>
      </c>
    </row>
    <row r="5" spans="1:25" s="13" customFormat="1">
      <c r="A5" s="15" t="s">
        <v>8</v>
      </c>
      <c r="B5" s="15" t="s">
        <v>9</v>
      </c>
      <c r="C5" s="15">
        <v>6580994.7999999998</v>
      </c>
      <c r="D5" s="15">
        <v>345963.6</v>
      </c>
      <c r="E5" s="12">
        <f>'Table 19'!E5+'Table 20'!E5+'Table 21'!E5</f>
        <v>248</v>
      </c>
      <c r="F5" s="12">
        <f>'Table 19'!F5+'Table 20'!F5+'Table 21'!F5</f>
        <v>12</v>
      </c>
      <c r="G5" s="12">
        <f>'Table 19'!G5+'Table 20'!G5+'Table 21'!G5</f>
        <v>0</v>
      </c>
      <c r="H5" s="12">
        <f>'Table 19'!H5+'Table 20'!H5+'Table 21'!H5</f>
        <v>254</v>
      </c>
      <c r="I5" s="12">
        <f>'Table 19'!I5+'Table 20'!I5+'Table 21'!I5</f>
        <v>0</v>
      </c>
      <c r="J5" s="12">
        <f>'Table 19'!J5+'Table 20'!J5+'Table 21'!J5</f>
        <v>0</v>
      </c>
      <c r="K5" s="12">
        <f>'Table 19'!K5+'Table 20'!K5+'Table 21'!K5</f>
        <v>0</v>
      </c>
      <c r="L5" s="12">
        <f>'Table 19'!L5+'Table 20'!L5+'Table 21'!L5</f>
        <v>369</v>
      </c>
      <c r="M5" s="12">
        <f>'Table 19'!M5+'Table 20'!M5+'Table 21'!M5</f>
        <v>0</v>
      </c>
      <c r="N5" s="12">
        <f>'Table 19'!N5+'Table 20'!N5+'Table 21'!N5</f>
        <v>3</v>
      </c>
      <c r="O5" s="12">
        <f>'Table 19'!O5+'Table 20'!O5+'Table 21'!O5</f>
        <v>7</v>
      </c>
      <c r="P5" s="12">
        <f>'Table 19'!P5+'Table 20'!P5+'Table 21'!P5</f>
        <v>0</v>
      </c>
      <c r="Q5" s="12">
        <f>'Table 19'!Q5+'Table 20'!Q5+'Table 21'!Q5</f>
        <v>37</v>
      </c>
      <c r="R5" s="12">
        <f>'Table 19'!R5+'Table 20'!R5+'Table 21'!R5</f>
        <v>0</v>
      </c>
      <c r="S5" s="12">
        <f>'Table 19'!S5+'Table 20'!S5+'Table 21'!S5</f>
        <v>0</v>
      </c>
      <c r="T5" s="12">
        <f>'Table 19'!T5+'Table 20'!T5+'Table 21'!T5</f>
        <v>0</v>
      </c>
      <c r="U5" s="12">
        <f>'Table 19'!U5+'Table 20'!U5+'Table 21'!U5</f>
        <v>0</v>
      </c>
      <c r="V5" s="12">
        <f>'Table 19'!V5+'Table 20'!V5+'Table 21'!V5</f>
        <v>0</v>
      </c>
      <c r="W5" s="12">
        <f>'Table 19'!W5+'Table 20'!W5+'Table 21'!W5</f>
        <v>0</v>
      </c>
      <c r="X5" s="12">
        <f t="shared" ref="X5:X43" si="0">SUM(E5:W5)</f>
        <v>930</v>
      </c>
    </row>
    <row r="6" spans="1:25" s="13" customFormat="1">
      <c r="A6" s="15" t="s">
        <v>10</v>
      </c>
      <c r="B6" s="15" t="s">
        <v>11</v>
      </c>
      <c r="C6" s="15">
        <v>6583705.7999999998</v>
      </c>
      <c r="D6" s="15">
        <v>351451.9</v>
      </c>
      <c r="E6" s="12">
        <f>'Table 19'!E6+'Table 20'!E6+'Table 21'!E6</f>
        <v>69</v>
      </c>
      <c r="F6" s="12">
        <f>'Table 19'!F6+'Table 20'!F6+'Table 21'!F6</f>
        <v>13</v>
      </c>
      <c r="G6" s="12">
        <f>'Table 19'!G6+'Table 20'!G6+'Table 21'!G6</f>
        <v>7</v>
      </c>
      <c r="H6" s="12">
        <f>'Table 19'!H6+'Table 20'!H6+'Table 21'!H6</f>
        <v>258</v>
      </c>
      <c r="I6" s="12">
        <f>'Table 19'!I6+'Table 20'!I6+'Table 21'!I6</f>
        <v>0</v>
      </c>
      <c r="J6" s="12">
        <f>'Table 19'!J6+'Table 20'!J6+'Table 21'!J6</f>
        <v>0</v>
      </c>
      <c r="K6" s="12">
        <f>'Table 19'!K6+'Table 20'!K6+'Table 21'!K6</f>
        <v>15</v>
      </c>
      <c r="L6" s="12">
        <f>'Table 19'!L6+'Table 20'!L6+'Table 21'!L6</f>
        <v>250</v>
      </c>
      <c r="M6" s="12">
        <f>'Table 19'!M6+'Table 20'!M6+'Table 21'!M6</f>
        <v>1</v>
      </c>
      <c r="N6" s="12">
        <f>'Table 19'!N6+'Table 20'!N6+'Table 21'!N6</f>
        <v>12</v>
      </c>
      <c r="O6" s="12">
        <f>'Table 19'!O6+'Table 20'!O6+'Table 21'!O6</f>
        <v>15</v>
      </c>
      <c r="P6" s="12">
        <f>'Table 19'!P6+'Table 20'!P6+'Table 21'!P6</f>
        <v>4</v>
      </c>
      <c r="Q6" s="12">
        <f>'Table 19'!Q6+'Table 20'!Q6+'Table 21'!Q6</f>
        <v>54</v>
      </c>
      <c r="R6" s="12">
        <f>'Table 19'!R6+'Table 20'!R6+'Table 21'!R6</f>
        <v>0</v>
      </c>
      <c r="S6" s="12">
        <f>'Table 19'!S6+'Table 20'!S6+'Table 21'!S6</f>
        <v>0</v>
      </c>
      <c r="T6" s="12">
        <f>'Table 19'!T6+'Table 20'!T6+'Table 21'!T6</f>
        <v>0</v>
      </c>
      <c r="U6" s="12">
        <f>'Table 19'!U6+'Table 20'!U6+'Table 21'!U6</f>
        <v>0</v>
      </c>
      <c r="V6" s="12">
        <f>'Table 19'!V6+'Table 20'!V6+'Table 21'!V6</f>
        <v>1</v>
      </c>
      <c r="W6" s="12">
        <f>'Table 19'!W6+'Table 20'!W6+'Table 21'!W6</f>
        <v>0</v>
      </c>
      <c r="X6" s="12">
        <f t="shared" si="0"/>
        <v>699</v>
      </c>
    </row>
    <row r="7" spans="1:25" s="13" customFormat="1">
      <c r="A7" s="15" t="s">
        <v>12</v>
      </c>
      <c r="B7" s="15" t="s">
        <v>13</v>
      </c>
      <c r="C7" s="15">
        <v>6585327.2000000002</v>
      </c>
      <c r="D7" s="15">
        <v>351107.1</v>
      </c>
      <c r="E7" s="12">
        <f>'Table 19'!E7+'Table 20'!E7+'Table 21'!E7</f>
        <v>122</v>
      </c>
      <c r="F7" s="12">
        <f>'Table 19'!F7+'Table 20'!F7+'Table 21'!F7</f>
        <v>14</v>
      </c>
      <c r="G7" s="12">
        <f>'Table 19'!G7+'Table 20'!G7+'Table 21'!G7</f>
        <v>9</v>
      </c>
      <c r="H7" s="12">
        <f>'Table 19'!H7+'Table 20'!H7+'Table 21'!H7</f>
        <v>208</v>
      </c>
      <c r="I7" s="12">
        <f>'Table 19'!I7+'Table 20'!I7+'Table 21'!I7</f>
        <v>0</v>
      </c>
      <c r="J7" s="12">
        <f>'Table 19'!J7+'Table 20'!J7+'Table 21'!J7</f>
        <v>0</v>
      </c>
      <c r="K7" s="12">
        <f>'Table 19'!K7+'Table 20'!K7+'Table 21'!K7</f>
        <v>9</v>
      </c>
      <c r="L7" s="12">
        <f>'Table 19'!L7+'Table 20'!L7+'Table 21'!L7</f>
        <v>181</v>
      </c>
      <c r="M7" s="12">
        <f>'Table 19'!M7+'Table 20'!M7+'Table 21'!M7</f>
        <v>0</v>
      </c>
      <c r="N7" s="12">
        <f>'Table 19'!N7+'Table 20'!N7+'Table 21'!N7</f>
        <v>3</v>
      </c>
      <c r="O7" s="12">
        <f>'Table 19'!O7+'Table 20'!O7+'Table 21'!O7</f>
        <v>22</v>
      </c>
      <c r="P7" s="12">
        <f>'Table 19'!P7+'Table 20'!P7+'Table 21'!P7</f>
        <v>24</v>
      </c>
      <c r="Q7" s="12">
        <f>'Table 19'!Q7+'Table 20'!Q7+'Table 21'!Q7</f>
        <v>65</v>
      </c>
      <c r="R7" s="12">
        <f>'Table 19'!R7+'Table 20'!R7+'Table 21'!R7</f>
        <v>0</v>
      </c>
      <c r="S7" s="12">
        <f>'Table 19'!S7+'Table 20'!S7+'Table 21'!S7</f>
        <v>0</v>
      </c>
      <c r="T7" s="12">
        <f>'Table 19'!T7+'Table 20'!T7+'Table 21'!T7</f>
        <v>0</v>
      </c>
      <c r="U7" s="12">
        <f>'Table 19'!U7+'Table 20'!U7+'Table 21'!U7</f>
        <v>0</v>
      </c>
      <c r="V7" s="12">
        <f>'Table 19'!V7+'Table 20'!V7+'Table 21'!V7</f>
        <v>1</v>
      </c>
      <c r="W7" s="12">
        <f>'Table 19'!W7+'Table 20'!W7+'Table 21'!W7</f>
        <v>0</v>
      </c>
      <c r="X7" s="12">
        <f t="shared" si="0"/>
        <v>658</v>
      </c>
    </row>
    <row r="8" spans="1:25" s="13" customFormat="1">
      <c r="A8" s="15" t="s">
        <v>14</v>
      </c>
      <c r="B8" s="15" t="s">
        <v>15</v>
      </c>
      <c r="C8" s="15">
        <v>6580536.7999999998</v>
      </c>
      <c r="D8" s="15">
        <v>347328.3</v>
      </c>
      <c r="E8" s="12">
        <f>'Table 19'!E8+'Table 20'!E8+'Table 21'!E8</f>
        <v>132</v>
      </c>
      <c r="F8" s="12">
        <f>'Table 19'!F8+'Table 20'!F8+'Table 21'!F8</f>
        <v>9</v>
      </c>
      <c r="G8" s="12">
        <f>'Table 19'!G8+'Table 20'!G8+'Table 21'!G8</f>
        <v>0</v>
      </c>
      <c r="H8" s="12">
        <f>'Table 19'!H8+'Table 20'!H8+'Table 21'!H8</f>
        <v>218</v>
      </c>
      <c r="I8" s="12">
        <f>'Table 19'!I8+'Table 20'!I8+'Table 21'!I8</f>
        <v>0</v>
      </c>
      <c r="J8" s="12">
        <f>'Table 19'!J8+'Table 20'!J8+'Table 21'!J8</f>
        <v>0</v>
      </c>
      <c r="K8" s="12">
        <f>'Table 19'!K8+'Table 20'!K8+'Table 21'!K8</f>
        <v>0</v>
      </c>
      <c r="L8" s="12">
        <f>'Table 19'!L8+'Table 20'!L8+'Table 21'!L8</f>
        <v>101</v>
      </c>
      <c r="M8" s="12">
        <f>'Table 19'!M8+'Table 20'!M8+'Table 21'!M8</f>
        <v>0</v>
      </c>
      <c r="N8" s="12">
        <f>'Table 19'!N8+'Table 20'!N8+'Table 21'!N8</f>
        <v>1</v>
      </c>
      <c r="O8" s="12">
        <f>'Table 19'!O8+'Table 20'!O8+'Table 21'!O8</f>
        <v>23</v>
      </c>
      <c r="P8" s="12">
        <f>'Table 19'!P8+'Table 20'!P8+'Table 21'!P8</f>
        <v>2</v>
      </c>
      <c r="Q8" s="12">
        <f>'Table 19'!Q8+'Table 20'!Q8+'Table 21'!Q8</f>
        <v>133</v>
      </c>
      <c r="R8" s="12">
        <f>'Table 19'!R8+'Table 20'!R8+'Table 21'!R8</f>
        <v>0</v>
      </c>
      <c r="S8" s="12">
        <f>'Table 19'!S8+'Table 20'!S8+'Table 21'!S8</f>
        <v>0</v>
      </c>
      <c r="T8" s="12">
        <f>'Table 19'!T8+'Table 20'!T8+'Table 21'!T8</f>
        <v>0</v>
      </c>
      <c r="U8" s="12">
        <f>'Table 19'!U8+'Table 20'!U8+'Table 21'!U8</f>
        <v>1</v>
      </c>
      <c r="V8" s="12">
        <f>'Table 19'!V8+'Table 20'!V8+'Table 21'!V8</f>
        <v>0</v>
      </c>
      <c r="W8" s="12">
        <f>'Table 19'!W8+'Table 20'!W8+'Table 21'!W8</f>
        <v>0</v>
      </c>
      <c r="X8" s="12">
        <f t="shared" si="0"/>
        <v>620</v>
      </c>
    </row>
    <row r="9" spans="1:25" s="13" customFormat="1">
      <c r="A9" s="15" t="s">
        <v>16</v>
      </c>
      <c r="B9" s="15" t="s">
        <v>17</v>
      </c>
      <c r="C9" s="15">
        <v>6587928.7000000002</v>
      </c>
      <c r="D9" s="15">
        <v>350635.4</v>
      </c>
      <c r="E9" s="12">
        <f>'Table 19'!E9+'Table 20'!E9+'Table 21'!E9</f>
        <v>146</v>
      </c>
      <c r="F9" s="12">
        <f>'Table 19'!F9+'Table 20'!F9+'Table 21'!F9</f>
        <v>0</v>
      </c>
      <c r="G9" s="12">
        <f>'Table 19'!G9+'Table 20'!G9+'Table 21'!G9</f>
        <v>0</v>
      </c>
      <c r="H9" s="12">
        <f>'Table 19'!H9+'Table 20'!H9+'Table 21'!H9</f>
        <v>156</v>
      </c>
      <c r="I9" s="12">
        <f>'Table 19'!I9+'Table 20'!I9+'Table 21'!I9</f>
        <v>9</v>
      </c>
      <c r="J9" s="12">
        <f>'Table 19'!J9+'Table 20'!J9+'Table 21'!J9</f>
        <v>0</v>
      </c>
      <c r="K9" s="12">
        <f>'Table 19'!K9+'Table 20'!K9+'Table 21'!K9</f>
        <v>1</v>
      </c>
      <c r="L9" s="12">
        <f>'Table 19'!L9+'Table 20'!L9+'Table 21'!L9</f>
        <v>561</v>
      </c>
      <c r="M9" s="12">
        <f>'Table 19'!M9+'Table 20'!M9+'Table 21'!M9</f>
        <v>0</v>
      </c>
      <c r="N9" s="12">
        <f>'Table 19'!N9+'Table 20'!N9+'Table 21'!N9</f>
        <v>15</v>
      </c>
      <c r="O9" s="12">
        <f>'Table 19'!O9+'Table 20'!O9+'Table 21'!O9</f>
        <v>0</v>
      </c>
      <c r="P9" s="12">
        <f>'Table 19'!P9+'Table 20'!P9+'Table 21'!P9</f>
        <v>0</v>
      </c>
      <c r="Q9" s="12">
        <f>'Table 19'!Q9+'Table 20'!Q9+'Table 21'!Q9</f>
        <v>54</v>
      </c>
      <c r="R9" s="12">
        <f>'Table 19'!R9+'Table 20'!R9+'Table 21'!R9</f>
        <v>0</v>
      </c>
      <c r="S9" s="12">
        <f>'Table 19'!S9+'Table 20'!S9+'Table 21'!S9</f>
        <v>0</v>
      </c>
      <c r="T9" s="12">
        <f>'Table 19'!T9+'Table 20'!T9+'Table 21'!T9</f>
        <v>0</v>
      </c>
      <c r="U9" s="12">
        <f>'Table 19'!U9+'Table 20'!U9+'Table 21'!U9</f>
        <v>0</v>
      </c>
      <c r="V9" s="12">
        <f>'Table 19'!V9+'Table 20'!V9+'Table 21'!V9</f>
        <v>0</v>
      </c>
      <c r="W9" s="12">
        <f>'Table 19'!W9+'Table 20'!W9+'Table 21'!W9</f>
        <v>0</v>
      </c>
      <c r="X9" s="12">
        <f t="shared" si="0"/>
        <v>942</v>
      </c>
    </row>
    <row r="10" spans="1:25" s="13" customFormat="1">
      <c r="A10" s="15" t="s">
        <v>18</v>
      </c>
      <c r="B10" s="15" t="s">
        <v>19</v>
      </c>
      <c r="C10" s="15">
        <v>6589195.0999999996</v>
      </c>
      <c r="D10" s="15">
        <v>351269.1</v>
      </c>
      <c r="E10" s="12">
        <f>'Table 19'!E10+'Table 20'!E10+'Table 21'!E10</f>
        <v>125</v>
      </c>
      <c r="F10" s="12">
        <f>'Table 19'!F10+'Table 20'!F10+'Table 21'!F10</f>
        <v>5</v>
      </c>
      <c r="G10" s="12">
        <f>'Table 19'!G10+'Table 20'!G10+'Table 21'!G10</f>
        <v>0</v>
      </c>
      <c r="H10" s="12">
        <f>'Table 19'!H10+'Table 20'!H10+'Table 21'!H10</f>
        <v>160</v>
      </c>
      <c r="I10" s="12">
        <f>'Table 19'!I10+'Table 20'!I10+'Table 21'!I10</f>
        <v>0</v>
      </c>
      <c r="J10" s="12">
        <f>'Table 19'!J10+'Table 20'!J10+'Table 21'!J10</f>
        <v>0</v>
      </c>
      <c r="K10" s="12">
        <f>'Table 19'!K10+'Table 20'!K10+'Table 21'!K10</f>
        <v>6</v>
      </c>
      <c r="L10" s="12">
        <f>'Table 19'!L10+'Table 20'!L10+'Table 21'!L10</f>
        <v>291</v>
      </c>
      <c r="M10" s="12">
        <f>'Table 19'!M10+'Table 20'!M10+'Table 21'!M10</f>
        <v>0</v>
      </c>
      <c r="N10" s="12">
        <f>'Table 19'!N10+'Table 20'!N10+'Table 21'!N10</f>
        <v>7</v>
      </c>
      <c r="O10" s="12">
        <f>'Table 19'!O10+'Table 20'!O10+'Table 21'!O10</f>
        <v>7</v>
      </c>
      <c r="P10" s="12">
        <f>'Table 19'!P10+'Table 20'!P10+'Table 21'!P10</f>
        <v>89</v>
      </c>
      <c r="Q10" s="12">
        <f>'Table 19'!Q10+'Table 20'!Q10+'Table 21'!Q10</f>
        <v>40</v>
      </c>
      <c r="R10" s="12">
        <f>'Table 19'!R10+'Table 20'!R10+'Table 21'!R10</f>
        <v>0</v>
      </c>
      <c r="S10" s="12">
        <f>'Table 19'!S10+'Table 20'!S10+'Table 21'!S10</f>
        <v>0</v>
      </c>
      <c r="T10" s="12">
        <f>'Table 19'!T10+'Table 20'!T10+'Table 21'!T10</f>
        <v>1</v>
      </c>
      <c r="U10" s="12">
        <f>'Table 19'!U10+'Table 20'!U10+'Table 21'!U10</f>
        <v>1</v>
      </c>
      <c r="V10" s="12">
        <f>'Table 19'!V10+'Table 20'!V10+'Table 21'!V10</f>
        <v>2</v>
      </c>
      <c r="W10" s="12">
        <f>'Table 19'!W10+'Table 20'!W10+'Table 21'!W10</f>
        <v>0</v>
      </c>
      <c r="X10" s="12">
        <f t="shared" si="0"/>
        <v>734</v>
      </c>
    </row>
    <row r="11" spans="1:25" s="13" customFormat="1">
      <c r="A11" s="15" t="s">
        <v>20</v>
      </c>
      <c r="B11" s="15" t="s">
        <v>21</v>
      </c>
      <c r="C11" s="15">
        <v>6589311.4000000004</v>
      </c>
      <c r="D11" s="15">
        <v>348240.8</v>
      </c>
      <c r="E11" s="12">
        <f>'Table 19'!E11+'Table 20'!E11+'Table 21'!E11</f>
        <v>212</v>
      </c>
      <c r="F11" s="12">
        <f>'Table 19'!F11+'Table 20'!F11+'Table 21'!F11</f>
        <v>12</v>
      </c>
      <c r="G11" s="12">
        <f>'Table 19'!G11+'Table 20'!G11+'Table 21'!G11</f>
        <v>0</v>
      </c>
      <c r="H11" s="12">
        <f>'Table 19'!H11+'Table 20'!H11+'Table 21'!H11</f>
        <v>192</v>
      </c>
      <c r="I11" s="12">
        <f>'Table 19'!I11+'Table 20'!I11+'Table 21'!I11</f>
        <v>0</v>
      </c>
      <c r="J11" s="12">
        <f>'Table 19'!J11+'Table 20'!J11+'Table 21'!J11</f>
        <v>0</v>
      </c>
      <c r="K11" s="12">
        <f>'Table 19'!K11+'Table 20'!K11+'Table 21'!K11</f>
        <v>1</v>
      </c>
      <c r="L11" s="12">
        <f>'Table 19'!L11+'Table 20'!L11+'Table 21'!L11</f>
        <v>380</v>
      </c>
      <c r="M11" s="12">
        <f>'Table 19'!M11+'Table 20'!M11+'Table 21'!M11</f>
        <v>6</v>
      </c>
      <c r="N11" s="12">
        <f>'Table 19'!N11+'Table 20'!N11+'Table 21'!N11</f>
        <v>117</v>
      </c>
      <c r="O11" s="12">
        <f>'Table 19'!O11+'Table 20'!O11+'Table 21'!O11</f>
        <v>28</v>
      </c>
      <c r="P11" s="12">
        <f>'Table 19'!P11+'Table 20'!P11+'Table 21'!P11</f>
        <v>8</v>
      </c>
      <c r="Q11" s="12">
        <f>'Table 19'!Q11+'Table 20'!Q11+'Table 21'!Q11</f>
        <v>51</v>
      </c>
      <c r="R11" s="12">
        <f>'Table 19'!R11+'Table 20'!R11+'Table 21'!R11</f>
        <v>0</v>
      </c>
      <c r="S11" s="12">
        <f>'Table 19'!S11+'Table 20'!S11+'Table 21'!S11</f>
        <v>0</v>
      </c>
      <c r="T11" s="12">
        <f>'Table 19'!T11+'Table 20'!T11+'Table 21'!T11</f>
        <v>0</v>
      </c>
      <c r="U11" s="12">
        <f>'Table 19'!U11+'Table 20'!U11+'Table 21'!U11</f>
        <v>0</v>
      </c>
      <c r="V11" s="12">
        <f>'Table 19'!V11+'Table 20'!V11+'Table 21'!V11</f>
        <v>0</v>
      </c>
      <c r="W11" s="12">
        <f>'Table 19'!W11+'Table 20'!W11+'Table 21'!W11</f>
        <v>0</v>
      </c>
      <c r="X11" s="12">
        <f t="shared" si="0"/>
        <v>1007</v>
      </c>
    </row>
    <row r="12" spans="1:25" s="13" customFormat="1">
      <c r="A12" s="15" t="s">
        <v>22</v>
      </c>
      <c r="B12" s="15" t="s">
        <v>23</v>
      </c>
      <c r="C12" s="15">
        <v>6589480.5999999996</v>
      </c>
      <c r="D12" s="15">
        <v>348282.9</v>
      </c>
      <c r="E12" s="12">
        <f>'Table 19'!E12+'Table 20'!E12+'Table 21'!E12</f>
        <v>163</v>
      </c>
      <c r="F12" s="12">
        <f>'Table 19'!F12+'Table 20'!F12+'Table 21'!F12</f>
        <v>25</v>
      </c>
      <c r="G12" s="12">
        <f>'Table 19'!G12+'Table 20'!G12+'Table 21'!G12</f>
        <v>5</v>
      </c>
      <c r="H12" s="12">
        <f>'Table 19'!H12+'Table 20'!H12+'Table 21'!H12</f>
        <v>196</v>
      </c>
      <c r="I12" s="12">
        <f>'Table 19'!I12+'Table 20'!I12+'Table 21'!I12</f>
        <v>0</v>
      </c>
      <c r="J12" s="12">
        <f>'Table 19'!J12+'Table 20'!J12+'Table 21'!J12</f>
        <v>0</v>
      </c>
      <c r="K12" s="12">
        <f>'Table 19'!K12+'Table 20'!K12+'Table 21'!K12</f>
        <v>4</v>
      </c>
      <c r="L12" s="12">
        <f>'Table 19'!L12+'Table 20'!L12+'Table 21'!L12</f>
        <v>154</v>
      </c>
      <c r="M12" s="12">
        <f>'Table 19'!M12+'Table 20'!M12+'Table 21'!M12</f>
        <v>0</v>
      </c>
      <c r="N12" s="12">
        <f>'Table 19'!N12+'Table 20'!N12+'Table 21'!N12</f>
        <v>31</v>
      </c>
      <c r="O12" s="12">
        <f>'Table 19'!O12+'Table 20'!O12+'Table 21'!O12</f>
        <v>5</v>
      </c>
      <c r="P12" s="12">
        <f>'Table 19'!P12+'Table 20'!P12+'Table 21'!P12</f>
        <v>16</v>
      </c>
      <c r="Q12" s="12">
        <f>'Table 19'!Q12+'Table 20'!Q12+'Table 21'!Q12</f>
        <v>50</v>
      </c>
      <c r="R12" s="12">
        <f>'Table 19'!R12+'Table 20'!R12+'Table 21'!R12</f>
        <v>0</v>
      </c>
      <c r="S12" s="12">
        <f>'Table 19'!S12+'Table 20'!S12+'Table 21'!S12</f>
        <v>0</v>
      </c>
      <c r="T12" s="12">
        <f>'Table 19'!T12+'Table 20'!T12+'Table 21'!T12</f>
        <v>0</v>
      </c>
      <c r="U12" s="12">
        <f>'Table 19'!U12+'Table 20'!U12+'Table 21'!U12</f>
        <v>1</v>
      </c>
      <c r="V12" s="12">
        <f>'Table 19'!V12+'Table 20'!V12+'Table 21'!V12</f>
        <v>2</v>
      </c>
      <c r="W12" s="12">
        <f>'Table 19'!W12+'Table 20'!W12+'Table 21'!W12</f>
        <v>0</v>
      </c>
      <c r="X12" s="12">
        <f t="shared" si="0"/>
        <v>652</v>
      </c>
    </row>
    <row r="13" spans="1:25" s="13" customFormat="1">
      <c r="A13" s="15" t="s">
        <v>24</v>
      </c>
      <c r="B13" s="15" t="s">
        <v>25</v>
      </c>
      <c r="C13" s="15">
        <v>658422.9</v>
      </c>
      <c r="D13" s="15">
        <v>34474.6</v>
      </c>
      <c r="E13" s="12">
        <f>'Table 19'!E13+'Table 20'!E13+'Table 21'!E13</f>
        <v>81</v>
      </c>
      <c r="F13" s="12">
        <f>'Table 19'!F13+'Table 20'!F13+'Table 21'!F13</f>
        <v>7</v>
      </c>
      <c r="G13" s="12">
        <f>'Table 19'!G13+'Table 20'!G13+'Table 21'!G13</f>
        <v>0</v>
      </c>
      <c r="H13" s="12">
        <f>'Table 19'!H13+'Table 20'!H13+'Table 21'!H13</f>
        <v>146</v>
      </c>
      <c r="I13" s="12">
        <f>'Table 19'!I13+'Table 20'!I13+'Table 21'!I13</f>
        <v>0</v>
      </c>
      <c r="J13" s="12">
        <f>'Table 19'!J13+'Table 20'!J13+'Table 21'!J13</f>
        <v>0</v>
      </c>
      <c r="K13" s="12">
        <f>'Table 19'!K13+'Table 20'!K13+'Table 21'!K13</f>
        <v>54</v>
      </c>
      <c r="L13" s="12">
        <f>'Table 19'!L13+'Table 20'!L13+'Table 21'!L13</f>
        <v>128</v>
      </c>
      <c r="M13" s="12">
        <f>'Table 19'!M13+'Table 20'!M13+'Table 21'!M13</f>
        <v>0</v>
      </c>
      <c r="N13" s="12">
        <f>'Table 19'!N13+'Table 20'!N13+'Table 21'!N13</f>
        <v>3</v>
      </c>
      <c r="O13" s="12">
        <f>'Table 19'!O13+'Table 20'!O13+'Table 21'!O13</f>
        <v>27</v>
      </c>
      <c r="P13" s="12">
        <f>'Table 19'!P13+'Table 20'!P13+'Table 21'!P13</f>
        <v>13</v>
      </c>
      <c r="Q13" s="12">
        <f>'Table 19'!Q13+'Table 20'!Q13+'Table 21'!Q13</f>
        <v>28</v>
      </c>
      <c r="R13" s="12">
        <f>'Table 19'!R13+'Table 20'!R13+'Table 21'!R13</f>
        <v>0</v>
      </c>
      <c r="S13" s="12">
        <f>'Table 19'!S13+'Table 20'!S13+'Table 21'!S13</f>
        <v>0</v>
      </c>
      <c r="T13" s="12">
        <f>'Table 19'!T13+'Table 20'!T13+'Table 21'!T13</f>
        <v>0</v>
      </c>
      <c r="U13" s="12">
        <f>'Table 19'!U13+'Table 20'!U13+'Table 21'!U13</f>
        <v>0</v>
      </c>
      <c r="V13" s="12">
        <f>'Table 19'!V13+'Table 20'!V13+'Table 21'!V13</f>
        <v>0</v>
      </c>
      <c r="W13" s="12">
        <f>'Table 19'!W13+'Table 20'!W13+'Table 21'!W13</f>
        <v>3</v>
      </c>
      <c r="X13" s="12">
        <f t="shared" si="0"/>
        <v>490</v>
      </c>
    </row>
    <row r="14" spans="1:25" s="13" customFormat="1">
      <c r="A14" s="15" t="s">
        <v>26</v>
      </c>
      <c r="B14" s="15" t="s">
        <v>27</v>
      </c>
      <c r="C14" s="15">
        <v>6584573.5</v>
      </c>
      <c r="D14" s="15">
        <v>344348.6</v>
      </c>
      <c r="E14" s="12">
        <f>'Table 19'!E14+'Table 20'!E14+'Table 21'!E14</f>
        <v>48</v>
      </c>
      <c r="F14" s="12">
        <f>'Table 19'!F14+'Table 20'!F14+'Table 21'!F14</f>
        <v>10</v>
      </c>
      <c r="G14" s="12">
        <f>'Table 19'!G14+'Table 20'!G14+'Table 21'!G14</f>
        <v>0</v>
      </c>
      <c r="H14" s="12">
        <f>'Table 19'!H14+'Table 20'!H14+'Table 21'!H14</f>
        <v>270</v>
      </c>
      <c r="I14" s="12">
        <f>'Table 19'!I14+'Table 20'!I14+'Table 21'!I14</f>
        <v>0</v>
      </c>
      <c r="J14" s="12">
        <f>'Table 19'!J14+'Table 20'!J14+'Table 21'!J14</f>
        <v>0</v>
      </c>
      <c r="K14" s="12">
        <f>'Table 19'!K14+'Table 20'!K14+'Table 21'!K14</f>
        <v>0</v>
      </c>
      <c r="L14" s="12">
        <f>'Table 19'!L14+'Table 20'!L14+'Table 21'!L14</f>
        <v>247</v>
      </c>
      <c r="M14" s="12">
        <f>'Table 19'!M14+'Table 20'!M14+'Table 21'!M14</f>
        <v>4</v>
      </c>
      <c r="N14" s="12">
        <f>'Table 19'!N14+'Table 20'!N14+'Table 21'!N14</f>
        <v>109</v>
      </c>
      <c r="O14" s="12">
        <f>'Table 19'!O14+'Table 20'!O14+'Table 21'!O14</f>
        <v>6</v>
      </c>
      <c r="P14" s="12">
        <f>'Table 19'!P14+'Table 20'!P14+'Table 21'!P14</f>
        <v>9</v>
      </c>
      <c r="Q14" s="12">
        <f>'Table 19'!Q14+'Table 20'!Q14+'Table 21'!Q14</f>
        <v>30</v>
      </c>
      <c r="R14" s="12">
        <f>'Table 19'!R14+'Table 20'!R14+'Table 21'!R14</f>
        <v>0</v>
      </c>
      <c r="S14" s="12">
        <f>'Table 19'!S14+'Table 20'!S14+'Table 21'!S14</f>
        <v>0</v>
      </c>
      <c r="T14" s="12">
        <f>'Table 19'!T14+'Table 20'!T14+'Table 21'!T14</f>
        <v>0</v>
      </c>
      <c r="U14" s="12">
        <f>'Table 19'!U14+'Table 20'!U14+'Table 21'!U14</f>
        <v>0</v>
      </c>
      <c r="V14" s="12">
        <f>'Table 19'!V14+'Table 20'!V14+'Table 21'!V14</f>
        <v>0</v>
      </c>
      <c r="W14" s="12">
        <f>'Table 19'!W14+'Table 20'!W14+'Table 21'!W14</f>
        <v>0</v>
      </c>
      <c r="X14" s="12">
        <f t="shared" si="0"/>
        <v>733</v>
      </c>
    </row>
    <row r="15" spans="1:25" s="13" customFormat="1">
      <c r="A15" s="15" t="s">
        <v>28</v>
      </c>
      <c r="B15" s="15" t="s">
        <v>29</v>
      </c>
      <c r="C15" s="15">
        <v>6584288.4000000004</v>
      </c>
      <c r="D15" s="15">
        <v>344008.5</v>
      </c>
      <c r="E15" s="12">
        <f>'Table 19'!E15+'Table 20'!E15+'Table 21'!E15</f>
        <v>82</v>
      </c>
      <c r="F15" s="12">
        <f>'Table 19'!F15+'Table 20'!F15+'Table 21'!F15</f>
        <v>16</v>
      </c>
      <c r="G15" s="12">
        <f>'Table 19'!G15+'Table 20'!G15+'Table 21'!G15</f>
        <v>3</v>
      </c>
      <c r="H15" s="12">
        <f>'Table 19'!H15+'Table 20'!H15+'Table 21'!H15</f>
        <v>278</v>
      </c>
      <c r="I15" s="12">
        <f>'Table 19'!I15+'Table 20'!I15+'Table 21'!I15</f>
        <v>0</v>
      </c>
      <c r="J15" s="12">
        <f>'Table 19'!J15+'Table 20'!J15+'Table 21'!J15</f>
        <v>0</v>
      </c>
      <c r="K15" s="12">
        <f>'Table 19'!K15+'Table 20'!K15+'Table 21'!K15</f>
        <v>18</v>
      </c>
      <c r="L15" s="12">
        <f>'Table 19'!L15+'Table 20'!L15+'Table 21'!L15</f>
        <v>151</v>
      </c>
      <c r="M15" s="12">
        <f>'Table 19'!M15+'Table 20'!M15+'Table 21'!M15</f>
        <v>0</v>
      </c>
      <c r="N15" s="12">
        <f>'Table 19'!N15+'Table 20'!N15+'Table 21'!N15</f>
        <v>19</v>
      </c>
      <c r="O15" s="12">
        <f>'Table 19'!O15+'Table 20'!O15+'Table 21'!O15</f>
        <v>12</v>
      </c>
      <c r="P15" s="12">
        <f>'Table 19'!P15+'Table 20'!P15+'Table 21'!P15</f>
        <v>8</v>
      </c>
      <c r="Q15" s="12">
        <f>'Table 19'!Q15+'Table 20'!Q15+'Table 21'!Q15</f>
        <v>63</v>
      </c>
      <c r="R15" s="12">
        <f>'Table 19'!R15+'Table 20'!R15+'Table 21'!R15</f>
        <v>0</v>
      </c>
      <c r="S15" s="12">
        <f>'Table 19'!S15+'Table 20'!S15+'Table 21'!S15</f>
        <v>0</v>
      </c>
      <c r="T15" s="12">
        <f>'Table 19'!T15+'Table 20'!T15+'Table 21'!T15</f>
        <v>0</v>
      </c>
      <c r="U15" s="12">
        <f>'Table 19'!U15+'Table 20'!U15+'Table 21'!U15</f>
        <v>0</v>
      </c>
      <c r="V15" s="12">
        <f>'Table 19'!V15+'Table 20'!V15+'Table 21'!V15</f>
        <v>0</v>
      </c>
      <c r="W15" s="12">
        <f>'Table 19'!W15+'Table 20'!W15+'Table 21'!W15</f>
        <v>0</v>
      </c>
      <c r="X15" s="12">
        <f t="shared" si="0"/>
        <v>650</v>
      </c>
    </row>
    <row r="16" spans="1:25" s="13" customFormat="1">
      <c r="A16" s="15" t="s">
        <v>30</v>
      </c>
      <c r="B16" s="15" t="s">
        <v>31</v>
      </c>
      <c r="C16" s="15">
        <v>6585058.0199999996</v>
      </c>
      <c r="D16" s="15">
        <v>344011.89</v>
      </c>
      <c r="E16" s="12">
        <f>'Table 19'!E16+'Table 20'!E16+'Table 21'!E16</f>
        <v>110</v>
      </c>
      <c r="F16" s="12">
        <f>'Table 19'!F16+'Table 20'!F16+'Table 21'!F16</f>
        <v>12</v>
      </c>
      <c r="G16" s="12">
        <f>'Table 19'!G16+'Table 20'!G16+'Table 21'!G16</f>
        <v>0</v>
      </c>
      <c r="H16" s="12">
        <f>'Table 19'!H16+'Table 20'!H16+'Table 21'!H16</f>
        <v>277</v>
      </c>
      <c r="I16" s="12">
        <f>'Table 19'!I16+'Table 20'!I16+'Table 21'!I16</f>
        <v>0</v>
      </c>
      <c r="J16" s="12">
        <f>'Table 19'!J16+'Table 20'!J16+'Table 21'!J16</f>
        <v>0</v>
      </c>
      <c r="K16" s="12">
        <f>'Table 19'!K16+'Table 20'!K16+'Table 21'!K16</f>
        <v>13</v>
      </c>
      <c r="L16" s="12">
        <f>'Table 19'!L16+'Table 20'!L16+'Table 21'!L16</f>
        <v>220</v>
      </c>
      <c r="M16" s="12">
        <f>'Table 19'!M16+'Table 20'!M16+'Table 21'!M16</f>
        <v>1</v>
      </c>
      <c r="N16" s="12">
        <f>'Table 19'!N16+'Table 20'!N16+'Table 21'!N16</f>
        <v>14</v>
      </c>
      <c r="O16" s="12">
        <f>'Table 19'!O16+'Table 20'!O16+'Table 21'!O16</f>
        <v>27</v>
      </c>
      <c r="P16" s="12">
        <f>'Table 19'!P16+'Table 20'!P16+'Table 21'!P16</f>
        <v>8</v>
      </c>
      <c r="Q16" s="12">
        <f>'Table 19'!Q16+'Table 20'!Q16+'Table 21'!Q16</f>
        <v>66</v>
      </c>
      <c r="R16" s="12">
        <f>'Table 19'!R16+'Table 20'!R16+'Table 21'!R16</f>
        <v>1</v>
      </c>
      <c r="S16" s="12">
        <f>'Table 19'!S16+'Table 20'!S16+'Table 21'!S16</f>
        <v>0</v>
      </c>
      <c r="T16" s="12">
        <f>'Table 19'!T16+'Table 20'!T16+'Table 21'!T16</f>
        <v>0</v>
      </c>
      <c r="U16" s="12">
        <f>'Table 19'!U16+'Table 20'!U16+'Table 21'!U16</f>
        <v>0</v>
      </c>
      <c r="V16" s="12">
        <f>'Table 19'!V16+'Table 20'!V16+'Table 21'!V16</f>
        <v>2</v>
      </c>
      <c r="W16" s="12">
        <f>'Table 19'!W16+'Table 20'!W16+'Table 21'!W16</f>
        <v>0</v>
      </c>
      <c r="X16" s="12">
        <f t="shared" si="0"/>
        <v>751</v>
      </c>
    </row>
    <row r="17" spans="1:24" s="13" customFormat="1">
      <c r="A17" s="15" t="s">
        <v>32</v>
      </c>
      <c r="B17" s="15" t="s">
        <v>33</v>
      </c>
      <c r="C17" s="15">
        <v>6585058.0199999996</v>
      </c>
      <c r="D17" s="15">
        <v>344011.89</v>
      </c>
      <c r="E17" s="12">
        <f>'Table 19'!E17+'Table 20'!E17+'Table 21'!E17</f>
        <v>102</v>
      </c>
      <c r="F17" s="12">
        <f>'Table 19'!F17+'Table 20'!F17+'Table 21'!F17</f>
        <v>30</v>
      </c>
      <c r="G17" s="12">
        <f>'Table 19'!G17+'Table 20'!G17+'Table 21'!G17</f>
        <v>2</v>
      </c>
      <c r="H17" s="12">
        <f>'Table 19'!H17+'Table 20'!H17+'Table 21'!H17</f>
        <v>169</v>
      </c>
      <c r="I17" s="12">
        <f>'Table 19'!I17+'Table 20'!I17+'Table 21'!I17</f>
        <v>0</v>
      </c>
      <c r="J17" s="12">
        <f>'Table 19'!J17+'Table 20'!J17+'Table 21'!J17</f>
        <v>0</v>
      </c>
      <c r="K17" s="12">
        <f>'Table 19'!K17+'Table 20'!K17+'Table 21'!K17</f>
        <v>19</v>
      </c>
      <c r="L17" s="12">
        <f>'Table 19'!L17+'Table 20'!L17+'Table 21'!L17</f>
        <v>228</v>
      </c>
      <c r="M17" s="12">
        <f>'Table 19'!M17+'Table 20'!M17+'Table 21'!M17</f>
        <v>0</v>
      </c>
      <c r="N17" s="12">
        <f>'Table 19'!N17+'Table 20'!N17+'Table 21'!N17</f>
        <v>5</v>
      </c>
      <c r="O17" s="12">
        <f>'Table 19'!O17+'Table 20'!O17+'Table 21'!O17</f>
        <v>21</v>
      </c>
      <c r="P17" s="12">
        <f>'Table 19'!P17+'Table 20'!P17+'Table 21'!P17</f>
        <v>6</v>
      </c>
      <c r="Q17" s="12">
        <f>'Table 19'!Q17+'Table 20'!Q17+'Table 21'!Q17</f>
        <v>54</v>
      </c>
      <c r="R17" s="12">
        <f>'Table 19'!R17+'Table 20'!R17+'Table 21'!R17</f>
        <v>0</v>
      </c>
      <c r="S17" s="12">
        <f>'Table 19'!S17+'Table 20'!S17+'Table 21'!S17</f>
        <v>0</v>
      </c>
      <c r="T17" s="12">
        <f>'Table 19'!T17+'Table 20'!T17+'Table 21'!T17</f>
        <v>0</v>
      </c>
      <c r="U17" s="12">
        <f>'Table 19'!U17+'Table 20'!U17+'Table 21'!U17</f>
        <v>0</v>
      </c>
      <c r="V17" s="12">
        <f>'Table 19'!V17+'Table 20'!V17+'Table 21'!V17</f>
        <v>1</v>
      </c>
      <c r="W17" s="12">
        <f>'Table 19'!W17+'Table 20'!W17+'Table 21'!W17</f>
        <v>1</v>
      </c>
      <c r="X17" s="12">
        <f t="shared" si="0"/>
        <v>638</v>
      </c>
    </row>
    <row r="18" spans="1:24">
      <c r="A18" s="15" t="s">
        <v>34</v>
      </c>
      <c r="B18" s="15" t="s">
        <v>35</v>
      </c>
      <c r="C18" s="15">
        <v>6584577.7000000002</v>
      </c>
      <c r="D18" s="15">
        <v>343202.7</v>
      </c>
      <c r="E18" s="12">
        <f>'Table 19'!E18+'Table 20'!E18+'Table 21'!E18</f>
        <v>84</v>
      </c>
      <c r="F18" s="12">
        <f>'Table 19'!F18+'Table 20'!F18+'Table 21'!F18</f>
        <v>11</v>
      </c>
      <c r="G18" s="12">
        <f>'Table 19'!G18+'Table 20'!G18+'Table 21'!G18</f>
        <v>0</v>
      </c>
      <c r="H18" s="12">
        <f>'Table 19'!H18+'Table 20'!H18+'Table 21'!H18</f>
        <v>162</v>
      </c>
      <c r="I18" s="12">
        <f>'Table 19'!I18+'Table 20'!I18+'Table 21'!I18</f>
        <v>0</v>
      </c>
      <c r="J18" s="12">
        <f>'Table 19'!J18+'Table 20'!J18+'Table 21'!J18</f>
        <v>0</v>
      </c>
      <c r="K18" s="12">
        <f>'Table 19'!K18+'Table 20'!K18+'Table 21'!K18</f>
        <v>109</v>
      </c>
      <c r="L18" s="12">
        <f>'Table 19'!L18+'Table 20'!L18+'Table 21'!L18</f>
        <v>152</v>
      </c>
      <c r="M18" s="12">
        <f>'Table 19'!M18+'Table 20'!M18+'Table 21'!M18</f>
        <v>1</v>
      </c>
      <c r="N18" s="12">
        <f>'Table 19'!N18+'Table 20'!N18+'Table 21'!N18</f>
        <v>0</v>
      </c>
      <c r="O18" s="12">
        <f>'Table 19'!O18+'Table 20'!O18+'Table 21'!O18</f>
        <v>26</v>
      </c>
      <c r="P18" s="12">
        <f>'Table 19'!P18+'Table 20'!P18+'Table 21'!P18</f>
        <v>9</v>
      </c>
      <c r="Q18" s="12">
        <f>'Table 19'!Q18+'Table 20'!Q18+'Table 21'!Q18</f>
        <v>76</v>
      </c>
      <c r="R18" s="12">
        <f>'Table 19'!R18+'Table 20'!R18+'Table 21'!R18</f>
        <v>0</v>
      </c>
      <c r="S18" s="12">
        <f>'Table 19'!S18+'Table 20'!S18+'Table 21'!S18</f>
        <v>0</v>
      </c>
      <c r="T18" s="12">
        <f>'Table 19'!T18+'Table 20'!T18+'Table 21'!T18</f>
        <v>0</v>
      </c>
      <c r="U18" s="12">
        <f>'Table 19'!U18+'Table 20'!U18+'Table 21'!U18</f>
        <v>0</v>
      </c>
      <c r="V18" s="12">
        <f>'Table 19'!V18+'Table 20'!V18+'Table 21'!V18</f>
        <v>1</v>
      </c>
      <c r="W18" s="12">
        <f>'Table 19'!W18+'Table 20'!W18+'Table 21'!W18</f>
        <v>0</v>
      </c>
      <c r="X18" s="12">
        <f t="shared" si="0"/>
        <v>631</v>
      </c>
    </row>
    <row r="19" spans="1:24">
      <c r="A19" s="15" t="s">
        <v>36</v>
      </c>
      <c r="B19" s="15" t="s">
        <v>37</v>
      </c>
      <c r="C19" s="15">
        <v>6584210.9000000004</v>
      </c>
      <c r="D19" s="15">
        <v>342756.7</v>
      </c>
      <c r="E19" s="12">
        <f>'Table 19'!E19+'Table 20'!E19+'Table 21'!E19</f>
        <v>43</v>
      </c>
      <c r="F19" s="12">
        <f>'Table 19'!F19+'Table 20'!F19+'Table 21'!F19</f>
        <v>8</v>
      </c>
      <c r="G19" s="12">
        <f>'Table 19'!G19+'Table 20'!G19+'Table 21'!G19</f>
        <v>0</v>
      </c>
      <c r="H19" s="12">
        <f>'Table 19'!H19+'Table 20'!H19+'Table 21'!H19</f>
        <v>128</v>
      </c>
      <c r="I19" s="12">
        <f>'Table 19'!I19+'Table 20'!I19+'Table 21'!I19</f>
        <v>0</v>
      </c>
      <c r="J19" s="12">
        <f>'Table 19'!J19+'Table 20'!J19+'Table 21'!J19</f>
        <v>0</v>
      </c>
      <c r="K19" s="12">
        <f>'Table 19'!K19+'Table 20'!K19+'Table 21'!K19</f>
        <v>260</v>
      </c>
      <c r="L19" s="12">
        <f>'Table 19'!L19+'Table 20'!L19+'Table 21'!L19</f>
        <v>127</v>
      </c>
      <c r="M19" s="12">
        <f>'Table 19'!M19+'Table 20'!M19+'Table 21'!M19</f>
        <v>3</v>
      </c>
      <c r="N19" s="12">
        <f>'Table 19'!N19+'Table 20'!N19+'Table 21'!N19</f>
        <v>119</v>
      </c>
      <c r="O19" s="12">
        <f>'Table 19'!O19+'Table 20'!O19+'Table 21'!O19</f>
        <v>16</v>
      </c>
      <c r="P19" s="12">
        <f>'Table 19'!P19+'Table 20'!P19+'Table 21'!P19</f>
        <v>9</v>
      </c>
      <c r="Q19" s="12">
        <f>'Table 19'!Q19+'Table 20'!Q19+'Table 21'!Q19</f>
        <v>43</v>
      </c>
      <c r="R19" s="12">
        <f>'Table 19'!R19+'Table 20'!R19+'Table 21'!R19</f>
        <v>0</v>
      </c>
      <c r="S19" s="12">
        <f>'Table 19'!S19+'Table 20'!S19+'Table 21'!S19</f>
        <v>0</v>
      </c>
      <c r="T19" s="12">
        <f>'Table 19'!T19+'Table 20'!T19+'Table 21'!T19</f>
        <v>0</v>
      </c>
      <c r="U19" s="12">
        <f>'Table 19'!U19+'Table 20'!U19+'Table 21'!U19</f>
        <v>0</v>
      </c>
      <c r="V19" s="12">
        <f>'Table 19'!V19+'Table 20'!V19+'Table 21'!V19</f>
        <v>0</v>
      </c>
      <c r="W19" s="12">
        <f>'Table 19'!W19+'Table 20'!W19+'Table 21'!W19</f>
        <v>0</v>
      </c>
      <c r="X19" s="12">
        <f t="shared" si="0"/>
        <v>756</v>
      </c>
    </row>
    <row r="20" spans="1:24">
      <c r="A20" s="15" t="s">
        <v>38</v>
      </c>
      <c r="B20" s="15" t="s">
        <v>39</v>
      </c>
      <c r="C20" s="15">
        <v>6585006.5999999996</v>
      </c>
      <c r="D20" s="15">
        <v>342433.4</v>
      </c>
      <c r="E20" s="12">
        <f>'Table 19'!E20+'Table 20'!E20+'Table 21'!E20</f>
        <v>57</v>
      </c>
      <c r="F20" s="12">
        <f>'Table 19'!F20+'Table 20'!F20+'Table 21'!F20</f>
        <v>7</v>
      </c>
      <c r="G20" s="12">
        <f>'Table 19'!G20+'Table 20'!G20+'Table 21'!G20</f>
        <v>0</v>
      </c>
      <c r="H20" s="12">
        <f>'Table 19'!H20+'Table 20'!H20+'Table 21'!H20</f>
        <v>202</v>
      </c>
      <c r="I20" s="12">
        <f>'Table 19'!I20+'Table 20'!I20+'Table 21'!I20</f>
        <v>0</v>
      </c>
      <c r="J20" s="12">
        <f>'Table 19'!J20+'Table 20'!J20+'Table 21'!J20</f>
        <v>0</v>
      </c>
      <c r="K20" s="12">
        <f>'Table 19'!K20+'Table 20'!K20+'Table 21'!K20</f>
        <v>5</v>
      </c>
      <c r="L20" s="12">
        <f>'Table 19'!L20+'Table 20'!L20+'Table 21'!L20</f>
        <v>231</v>
      </c>
      <c r="M20" s="12">
        <f>'Table 19'!M20+'Table 20'!M20+'Table 21'!M20</f>
        <v>0</v>
      </c>
      <c r="N20" s="12">
        <f>'Table 19'!N20+'Table 20'!N20+'Table 21'!N20</f>
        <v>85</v>
      </c>
      <c r="O20" s="12">
        <f>'Table 19'!O20+'Table 20'!O20+'Table 21'!O20</f>
        <v>8</v>
      </c>
      <c r="P20" s="12">
        <f>'Table 19'!P20+'Table 20'!P20+'Table 21'!P20</f>
        <v>2</v>
      </c>
      <c r="Q20" s="12">
        <f>'Table 19'!Q20+'Table 20'!Q20+'Table 21'!Q20</f>
        <v>57</v>
      </c>
      <c r="R20" s="12">
        <f>'Table 19'!R20+'Table 20'!R20+'Table 21'!R20</f>
        <v>0</v>
      </c>
      <c r="S20" s="12">
        <f>'Table 19'!S20+'Table 20'!S20+'Table 21'!S20</f>
        <v>0</v>
      </c>
      <c r="T20" s="12">
        <f>'Table 19'!T20+'Table 20'!T20+'Table 21'!T20</f>
        <v>0</v>
      </c>
      <c r="U20" s="12">
        <f>'Table 19'!U20+'Table 20'!U20+'Table 21'!U20</f>
        <v>0</v>
      </c>
      <c r="V20" s="12">
        <f>'Table 19'!V20+'Table 20'!V20+'Table 21'!V20</f>
        <v>0</v>
      </c>
      <c r="W20" s="12">
        <f>'Table 19'!W20+'Table 20'!W20+'Table 21'!W20</f>
        <v>0</v>
      </c>
      <c r="X20" s="12">
        <f t="shared" si="0"/>
        <v>654</v>
      </c>
    </row>
    <row r="21" spans="1:24">
      <c r="A21" s="15" t="s">
        <v>40</v>
      </c>
      <c r="B21" s="15" t="s">
        <v>41</v>
      </c>
      <c r="C21" s="15">
        <v>6585646.9000000004</v>
      </c>
      <c r="D21" s="15">
        <v>343175.7</v>
      </c>
      <c r="E21" s="12">
        <f>'Table 19'!E21+'Table 20'!E21+'Table 21'!E21</f>
        <v>62</v>
      </c>
      <c r="F21" s="12">
        <f>'Table 19'!F21+'Table 20'!F21+'Table 21'!F21</f>
        <v>9</v>
      </c>
      <c r="G21" s="12">
        <f>'Table 19'!G21+'Table 20'!G21+'Table 21'!G21</f>
        <v>1</v>
      </c>
      <c r="H21" s="12">
        <f>'Table 19'!H21+'Table 20'!H21+'Table 21'!H21</f>
        <v>282</v>
      </c>
      <c r="I21" s="12">
        <f>'Table 19'!I21+'Table 20'!I21+'Table 21'!I21</f>
        <v>0</v>
      </c>
      <c r="J21" s="12">
        <f>'Table 19'!J21+'Table 20'!J21+'Table 21'!J21</f>
        <v>0</v>
      </c>
      <c r="K21" s="12">
        <f>'Table 19'!K21+'Table 20'!K21+'Table 21'!K21</f>
        <v>27</v>
      </c>
      <c r="L21" s="12">
        <f>'Table 19'!L21+'Table 20'!L21+'Table 21'!L21</f>
        <v>197</v>
      </c>
      <c r="M21" s="12">
        <f>'Table 19'!M21+'Table 20'!M21+'Table 21'!M21</f>
        <v>5</v>
      </c>
      <c r="N21" s="12">
        <f>'Table 19'!N21+'Table 20'!N21+'Table 21'!N21</f>
        <v>164</v>
      </c>
      <c r="O21" s="12">
        <f>'Table 19'!O21+'Table 20'!O21+'Table 21'!O21</f>
        <v>21</v>
      </c>
      <c r="P21" s="12">
        <f>'Table 19'!P21+'Table 20'!P21+'Table 21'!P21</f>
        <v>4</v>
      </c>
      <c r="Q21" s="12">
        <f>'Table 19'!Q21+'Table 20'!Q21+'Table 21'!Q21</f>
        <v>49</v>
      </c>
      <c r="R21" s="12">
        <f>'Table 19'!R21+'Table 20'!R21+'Table 21'!R21</f>
        <v>0</v>
      </c>
      <c r="S21" s="12">
        <f>'Table 19'!S21+'Table 20'!S21+'Table 21'!S21</f>
        <v>0</v>
      </c>
      <c r="T21" s="12">
        <f>'Table 19'!T21+'Table 20'!T21+'Table 21'!T21</f>
        <v>0</v>
      </c>
      <c r="U21" s="12">
        <f>'Table 19'!U21+'Table 20'!U21+'Table 21'!U21</f>
        <v>0</v>
      </c>
      <c r="V21" s="12">
        <f>'Table 19'!V21+'Table 20'!V21+'Table 21'!V21</f>
        <v>0</v>
      </c>
      <c r="W21" s="12">
        <f>'Table 19'!W21+'Table 20'!W21+'Table 21'!W21</f>
        <v>1</v>
      </c>
      <c r="X21" s="12">
        <f t="shared" si="0"/>
        <v>822</v>
      </c>
    </row>
    <row r="22" spans="1:24">
      <c r="A22" s="15" t="s">
        <v>42</v>
      </c>
      <c r="B22" s="15" t="s">
        <v>43</v>
      </c>
      <c r="C22" s="15">
        <v>6587679</v>
      </c>
      <c r="D22" s="15">
        <v>345346</v>
      </c>
      <c r="E22" s="12">
        <f>'Table 19'!E22+'Table 20'!E22+'Table 21'!E22</f>
        <v>108</v>
      </c>
      <c r="F22" s="12">
        <f>'Table 19'!F22+'Table 20'!F22+'Table 21'!F22</f>
        <v>14</v>
      </c>
      <c r="G22" s="12">
        <f>'Table 19'!G22+'Table 20'!G22+'Table 21'!G22</f>
        <v>0</v>
      </c>
      <c r="H22" s="12">
        <f>'Table 19'!H22+'Table 20'!H22+'Table 21'!H22</f>
        <v>298</v>
      </c>
      <c r="I22" s="12">
        <f>'Table 19'!I22+'Table 20'!I22+'Table 21'!I22</f>
        <v>0</v>
      </c>
      <c r="J22" s="12">
        <f>'Table 19'!J22+'Table 20'!J22+'Table 21'!J22</f>
        <v>0</v>
      </c>
      <c r="K22" s="12">
        <f>'Table 19'!K22+'Table 20'!K22+'Table 21'!K22</f>
        <v>2</v>
      </c>
      <c r="L22" s="12">
        <f>'Table 19'!L22+'Table 20'!L22+'Table 21'!L22</f>
        <v>228</v>
      </c>
      <c r="M22" s="12">
        <f>'Table 19'!M22+'Table 20'!M22+'Table 21'!M22</f>
        <v>0</v>
      </c>
      <c r="N22" s="12">
        <f>'Table 19'!N22+'Table 20'!N22+'Table 21'!N22</f>
        <v>171</v>
      </c>
      <c r="O22" s="12">
        <f>'Table 19'!O22+'Table 20'!O22+'Table 21'!O22</f>
        <v>17</v>
      </c>
      <c r="P22" s="12">
        <f>'Table 19'!P22+'Table 20'!P22+'Table 21'!P22</f>
        <v>7</v>
      </c>
      <c r="Q22" s="12">
        <f>'Table 19'!Q22+'Table 20'!Q22+'Table 21'!Q22</f>
        <v>64</v>
      </c>
      <c r="R22" s="12">
        <f>'Table 19'!R22+'Table 20'!R22+'Table 21'!R22</f>
        <v>0</v>
      </c>
      <c r="S22" s="12">
        <f>'Table 19'!S22+'Table 20'!S22+'Table 21'!S22</f>
        <v>0</v>
      </c>
      <c r="T22" s="12">
        <f>'Table 19'!T22+'Table 20'!T22+'Table 21'!T22</f>
        <v>0</v>
      </c>
      <c r="U22" s="12">
        <f>'Table 19'!U22+'Table 20'!U22+'Table 21'!U22</f>
        <v>0</v>
      </c>
      <c r="V22" s="12">
        <f>'Table 19'!V22+'Table 20'!V22+'Table 21'!V22</f>
        <v>0</v>
      </c>
      <c r="W22" s="12">
        <f>'Table 19'!W22+'Table 20'!W22+'Table 21'!W22</f>
        <v>1</v>
      </c>
      <c r="X22" s="12">
        <f t="shared" si="0"/>
        <v>910</v>
      </c>
    </row>
    <row r="23" spans="1:24">
      <c r="A23" s="15" t="s">
        <v>44</v>
      </c>
      <c r="B23" s="15" t="s">
        <v>45</v>
      </c>
      <c r="C23" s="15">
        <v>6586902</v>
      </c>
      <c r="D23" s="15">
        <v>344191</v>
      </c>
      <c r="E23" s="12">
        <f>'Table 19'!E23+'Table 20'!E23+'Table 21'!E23</f>
        <v>92</v>
      </c>
      <c r="F23" s="12">
        <f>'Table 19'!F23+'Table 20'!F23+'Table 21'!F23</f>
        <v>2</v>
      </c>
      <c r="G23" s="12">
        <f>'Table 19'!G23+'Table 20'!G23+'Table 21'!G23</f>
        <v>0</v>
      </c>
      <c r="H23" s="12">
        <f>'Table 19'!H23+'Table 20'!H23+'Table 21'!H23</f>
        <v>269</v>
      </c>
      <c r="I23" s="12">
        <f>'Table 19'!I23+'Table 20'!I23+'Table 21'!I23</f>
        <v>0</v>
      </c>
      <c r="J23" s="12">
        <f>'Table 19'!J23+'Table 20'!J23+'Table 21'!J23</f>
        <v>0</v>
      </c>
      <c r="K23" s="12">
        <f>'Table 19'!K23+'Table 20'!K23+'Table 21'!K23</f>
        <v>7</v>
      </c>
      <c r="L23" s="12">
        <f>'Table 19'!L23+'Table 20'!L23+'Table 21'!L23</f>
        <v>274</v>
      </c>
      <c r="M23" s="12">
        <f>'Table 19'!M23+'Table 20'!M23+'Table 21'!M23</f>
        <v>0</v>
      </c>
      <c r="N23" s="12">
        <f>'Table 19'!N23+'Table 20'!N23+'Table 21'!N23</f>
        <v>44</v>
      </c>
      <c r="O23" s="12">
        <f>'Table 19'!O23+'Table 20'!O23+'Table 21'!O23</f>
        <v>18</v>
      </c>
      <c r="P23" s="12">
        <f>'Table 19'!P23+'Table 20'!P23+'Table 21'!P23</f>
        <v>1</v>
      </c>
      <c r="Q23" s="12">
        <f>'Table 19'!Q23+'Table 20'!Q23+'Table 21'!Q23</f>
        <v>41</v>
      </c>
      <c r="R23" s="12">
        <f>'Table 19'!R23+'Table 20'!R23+'Table 21'!R23</f>
        <v>0</v>
      </c>
      <c r="S23" s="12">
        <f>'Table 19'!S23+'Table 20'!S23+'Table 21'!S23</f>
        <v>0</v>
      </c>
      <c r="T23" s="12">
        <f>'Table 19'!T23+'Table 20'!T23+'Table 21'!T23</f>
        <v>0</v>
      </c>
      <c r="U23" s="12">
        <f>'Table 19'!U23+'Table 20'!U23+'Table 21'!U23</f>
        <v>0</v>
      </c>
      <c r="V23" s="12">
        <f>'Table 19'!V23+'Table 20'!V23+'Table 21'!V23</f>
        <v>0</v>
      </c>
      <c r="W23" s="12">
        <f>'Table 19'!W23+'Table 20'!W23+'Table 21'!W23</f>
        <v>0</v>
      </c>
      <c r="X23" s="12">
        <f t="shared" si="0"/>
        <v>748</v>
      </c>
    </row>
    <row r="24" spans="1:24">
      <c r="A24" s="15" t="s">
        <v>46</v>
      </c>
      <c r="B24" s="15" t="s">
        <v>47</v>
      </c>
      <c r="C24" s="15">
        <v>6579434.2999999998</v>
      </c>
      <c r="D24" s="15">
        <v>341857.4</v>
      </c>
      <c r="E24" s="12">
        <f>'Table 19'!E24+'Table 20'!E24+'Table 21'!E24</f>
        <v>122</v>
      </c>
      <c r="F24" s="12">
        <f>'Table 19'!F24+'Table 20'!F24+'Table 21'!F24</f>
        <v>16</v>
      </c>
      <c r="G24" s="12">
        <f>'Table 19'!G24+'Table 20'!G24+'Table 21'!G24</f>
        <v>3</v>
      </c>
      <c r="H24" s="12">
        <f>'Table 19'!H24+'Table 20'!H24+'Table 21'!H24</f>
        <v>245</v>
      </c>
      <c r="I24" s="12">
        <f>'Table 19'!I24+'Table 20'!I24+'Table 21'!I24</f>
        <v>3</v>
      </c>
      <c r="J24" s="12">
        <f>'Table 19'!J24+'Table 20'!J24+'Table 21'!J24</f>
        <v>1</v>
      </c>
      <c r="K24" s="12">
        <f>'Table 19'!K24+'Table 20'!K24+'Table 21'!K24</f>
        <v>16</v>
      </c>
      <c r="L24" s="12">
        <f>'Table 19'!L24+'Table 20'!L24+'Table 21'!L24</f>
        <v>124</v>
      </c>
      <c r="M24" s="12">
        <f>'Table 19'!M24+'Table 20'!M24+'Table 21'!M24</f>
        <v>0</v>
      </c>
      <c r="N24" s="12">
        <f>'Table 19'!N24+'Table 20'!N24+'Table 21'!N24</f>
        <v>0</v>
      </c>
      <c r="O24" s="12">
        <f>'Table 19'!O24+'Table 20'!O24+'Table 21'!O24</f>
        <v>23</v>
      </c>
      <c r="P24" s="12">
        <f>'Table 19'!P24+'Table 20'!P24+'Table 21'!P24</f>
        <v>2</v>
      </c>
      <c r="Q24" s="12">
        <f>'Table 19'!Q24+'Table 20'!Q24+'Table 21'!Q24</f>
        <v>54</v>
      </c>
      <c r="R24" s="12">
        <f>'Table 19'!R24+'Table 20'!R24+'Table 21'!R24</f>
        <v>0</v>
      </c>
      <c r="S24" s="12">
        <f>'Table 19'!S24+'Table 20'!S24+'Table 21'!S24</f>
        <v>0</v>
      </c>
      <c r="T24" s="12">
        <f>'Table 19'!T24+'Table 20'!T24+'Table 21'!T24</f>
        <v>0</v>
      </c>
      <c r="U24" s="12">
        <f>'Table 19'!U24+'Table 20'!U24+'Table 21'!U24</f>
        <v>0</v>
      </c>
      <c r="V24" s="12">
        <f>'Table 19'!V24+'Table 20'!V24+'Table 21'!V24</f>
        <v>1</v>
      </c>
      <c r="W24" s="12">
        <f>'Table 19'!W24+'Table 20'!W24+'Table 21'!W24</f>
        <v>0</v>
      </c>
      <c r="X24" s="12">
        <f t="shared" si="0"/>
        <v>610</v>
      </c>
    </row>
    <row r="25" spans="1:24">
      <c r="A25" s="15" t="s">
        <v>48</v>
      </c>
      <c r="B25" s="15" t="s">
        <v>49</v>
      </c>
      <c r="C25" s="15">
        <v>6579618.9000000004</v>
      </c>
      <c r="D25" s="15">
        <v>342074.8</v>
      </c>
      <c r="E25" s="12">
        <f>'Table 19'!E25+'Table 20'!E25+'Table 21'!E25</f>
        <v>116</v>
      </c>
      <c r="F25" s="12">
        <f>'Table 19'!F25+'Table 20'!F25+'Table 21'!F25</f>
        <v>9</v>
      </c>
      <c r="G25" s="12">
        <f>'Table 19'!G25+'Table 20'!G25+'Table 21'!G25</f>
        <v>1</v>
      </c>
      <c r="H25" s="12">
        <f>'Table 19'!H25+'Table 20'!H25+'Table 21'!H25</f>
        <v>229</v>
      </c>
      <c r="I25" s="12">
        <f>'Table 19'!I25+'Table 20'!I25+'Table 21'!I25</f>
        <v>74</v>
      </c>
      <c r="J25" s="12">
        <f>'Table 19'!J25+'Table 20'!J25+'Table 21'!J25</f>
        <v>0</v>
      </c>
      <c r="K25" s="12">
        <f>'Table 19'!K25+'Table 20'!K25+'Table 21'!K25</f>
        <v>204</v>
      </c>
      <c r="L25" s="12">
        <f>'Table 19'!L25+'Table 20'!L25+'Table 21'!L25</f>
        <v>148</v>
      </c>
      <c r="M25" s="12">
        <f>'Table 19'!M25+'Table 20'!M25+'Table 21'!M25</f>
        <v>0</v>
      </c>
      <c r="N25" s="12">
        <f>'Table 19'!N25+'Table 20'!N25+'Table 21'!N25</f>
        <v>0</v>
      </c>
      <c r="O25" s="12">
        <f>'Table 19'!O25+'Table 20'!O25+'Table 21'!O25</f>
        <v>12</v>
      </c>
      <c r="P25" s="12">
        <f>'Table 19'!P25+'Table 20'!P25+'Table 21'!P25</f>
        <v>6</v>
      </c>
      <c r="Q25" s="12">
        <f>'Table 19'!Q25+'Table 20'!Q25+'Table 21'!Q25</f>
        <v>49</v>
      </c>
      <c r="R25" s="12">
        <f>'Table 19'!R25+'Table 20'!R25+'Table 21'!R25</f>
        <v>1</v>
      </c>
      <c r="S25" s="12">
        <f>'Table 19'!S25+'Table 20'!S25+'Table 21'!S25</f>
        <v>0</v>
      </c>
      <c r="T25" s="12">
        <f>'Table 19'!T25+'Table 20'!T25+'Table 21'!T25</f>
        <v>0</v>
      </c>
      <c r="U25" s="12">
        <f>'Table 19'!U25+'Table 20'!U25+'Table 21'!U25</f>
        <v>0</v>
      </c>
      <c r="V25" s="12">
        <f>'Table 19'!V25+'Table 20'!V25+'Table 21'!V25</f>
        <v>1</v>
      </c>
      <c r="W25" s="12">
        <f>'Table 19'!W25+'Table 20'!W25+'Table 21'!W25</f>
        <v>1</v>
      </c>
      <c r="X25" s="12">
        <f t="shared" si="0"/>
        <v>851</v>
      </c>
    </row>
    <row r="26" spans="1:24">
      <c r="A26" s="15" t="s">
        <v>50</v>
      </c>
      <c r="B26" s="15" t="s">
        <v>51</v>
      </c>
      <c r="C26" s="15">
        <v>6580290.5</v>
      </c>
      <c r="D26" s="15">
        <v>343856</v>
      </c>
      <c r="E26" s="12">
        <f>'Table 19'!E26+'Table 20'!E26+'Table 21'!E26</f>
        <v>274</v>
      </c>
      <c r="F26" s="12">
        <f>'Table 19'!F26+'Table 20'!F26+'Table 21'!F26</f>
        <v>21</v>
      </c>
      <c r="G26" s="12">
        <f>'Table 19'!G26+'Table 20'!G26+'Table 21'!G26</f>
        <v>1</v>
      </c>
      <c r="H26" s="12">
        <f>'Table 19'!H26+'Table 20'!H26+'Table 21'!H26</f>
        <v>380</v>
      </c>
      <c r="I26" s="12">
        <f>'Table 19'!I26+'Table 20'!I26+'Table 21'!I26</f>
        <v>10</v>
      </c>
      <c r="J26" s="12">
        <f>'Table 19'!J26+'Table 20'!J26+'Table 21'!J26</f>
        <v>0</v>
      </c>
      <c r="K26" s="12">
        <f>'Table 19'!K26+'Table 20'!K26+'Table 21'!K26</f>
        <v>12</v>
      </c>
      <c r="L26" s="12">
        <f>'Table 19'!L26+'Table 20'!L26+'Table 21'!L26</f>
        <v>161</v>
      </c>
      <c r="M26" s="12">
        <f>'Table 19'!M26+'Table 20'!M26+'Table 21'!M26</f>
        <v>0</v>
      </c>
      <c r="N26" s="12">
        <f>'Table 19'!N26+'Table 20'!N26+'Table 21'!N26</f>
        <v>0</v>
      </c>
      <c r="O26" s="12">
        <f>'Table 19'!O26+'Table 20'!O26+'Table 21'!O26</f>
        <v>27</v>
      </c>
      <c r="P26" s="12">
        <f>'Table 19'!P26+'Table 20'!P26+'Table 21'!P26</f>
        <v>5</v>
      </c>
      <c r="Q26" s="12">
        <f>'Table 19'!Q26+'Table 20'!Q26+'Table 21'!Q26</f>
        <v>67</v>
      </c>
      <c r="R26" s="12">
        <f>'Table 19'!R26+'Table 20'!R26+'Table 21'!R26</f>
        <v>0</v>
      </c>
      <c r="S26" s="12">
        <f>'Table 19'!S26+'Table 20'!S26+'Table 21'!S26</f>
        <v>0</v>
      </c>
      <c r="T26" s="12">
        <f>'Table 19'!T26+'Table 20'!T26+'Table 21'!T26</f>
        <v>0</v>
      </c>
      <c r="U26" s="12">
        <f>'Table 19'!U26+'Table 20'!U26+'Table 21'!U26</f>
        <v>0</v>
      </c>
      <c r="V26" s="12">
        <f>'Table 19'!V26+'Table 20'!V26+'Table 21'!V26</f>
        <v>0</v>
      </c>
      <c r="W26" s="12">
        <f>'Table 19'!W26+'Table 20'!W26+'Table 21'!W26</f>
        <v>1</v>
      </c>
      <c r="X26" s="12">
        <f t="shared" si="0"/>
        <v>959</v>
      </c>
    </row>
    <row r="27" spans="1:24">
      <c r="A27" s="15" t="s">
        <v>52</v>
      </c>
      <c r="B27" s="15" t="s">
        <v>53</v>
      </c>
      <c r="C27" s="15">
        <v>6585399</v>
      </c>
      <c r="D27" s="15">
        <v>346667</v>
      </c>
      <c r="E27" s="12">
        <f>'Table 19'!E27+'Table 20'!E27+'Table 21'!E27</f>
        <v>210</v>
      </c>
      <c r="F27" s="12">
        <f>'Table 19'!F27+'Table 20'!F27+'Table 21'!F27</f>
        <v>32</v>
      </c>
      <c r="G27" s="12">
        <f>'Table 19'!G27+'Table 20'!G27+'Table 21'!G27</f>
        <v>1</v>
      </c>
      <c r="H27" s="12">
        <f>'Table 19'!H27+'Table 20'!H27+'Table 21'!H27</f>
        <v>227</v>
      </c>
      <c r="I27" s="12">
        <f>'Table 19'!I27+'Table 20'!I27+'Table 21'!I27</f>
        <v>0</v>
      </c>
      <c r="J27" s="12">
        <f>'Table 19'!J27+'Table 20'!J27+'Table 21'!J27</f>
        <v>0</v>
      </c>
      <c r="K27" s="12">
        <f>'Table 19'!K27+'Table 20'!K27+'Table 21'!K27</f>
        <v>5</v>
      </c>
      <c r="L27" s="12">
        <f>'Table 19'!L27+'Table 20'!L27+'Table 21'!L27</f>
        <v>175</v>
      </c>
      <c r="M27" s="12">
        <f>'Table 19'!M27+'Table 20'!M27+'Table 21'!M27</f>
        <v>0</v>
      </c>
      <c r="N27" s="12">
        <f>'Table 19'!N27+'Table 20'!N27+'Table 21'!N27</f>
        <v>27</v>
      </c>
      <c r="O27" s="12">
        <f>'Table 19'!O27+'Table 20'!O27+'Table 21'!O27</f>
        <v>17</v>
      </c>
      <c r="P27" s="12">
        <f>'Table 19'!P27+'Table 20'!P27+'Table 21'!P27</f>
        <v>13</v>
      </c>
      <c r="Q27" s="12">
        <f>'Table 19'!Q27+'Table 20'!Q27+'Table 21'!Q27</f>
        <v>75</v>
      </c>
      <c r="R27" s="12">
        <f>'Table 19'!R27+'Table 20'!R27+'Table 21'!R27</f>
        <v>2</v>
      </c>
      <c r="S27" s="12">
        <f>'Table 19'!S27+'Table 20'!S27+'Table 21'!S27</f>
        <v>0</v>
      </c>
      <c r="T27" s="12">
        <f>'Table 19'!T27+'Table 20'!T27+'Table 21'!T27</f>
        <v>0</v>
      </c>
      <c r="U27" s="12">
        <f>'Table 19'!U27+'Table 20'!U27+'Table 21'!U27</f>
        <v>0</v>
      </c>
      <c r="V27" s="12">
        <f>'Table 19'!V27+'Table 20'!V27+'Table 21'!V27</f>
        <v>1</v>
      </c>
      <c r="W27" s="12">
        <f>'Table 19'!W27+'Table 20'!W27+'Table 21'!W27</f>
        <v>0</v>
      </c>
      <c r="X27" s="12">
        <f t="shared" si="0"/>
        <v>785</v>
      </c>
    </row>
    <row r="28" spans="1:24">
      <c r="A28" s="15" t="s">
        <v>54</v>
      </c>
      <c r="B28" s="15" t="s">
        <v>55</v>
      </c>
      <c r="C28" s="15">
        <v>6585134</v>
      </c>
      <c r="D28" s="15">
        <v>345433</v>
      </c>
      <c r="E28" s="12">
        <f>'Table 19'!E28+'Table 20'!E28+'Table 21'!E28</f>
        <v>406</v>
      </c>
      <c r="F28" s="12">
        <f>'Table 19'!F28+'Table 20'!F28+'Table 21'!F28</f>
        <v>17</v>
      </c>
      <c r="G28" s="12">
        <f>'Table 19'!G28+'Table 20'!G28+'Table 21'!G28</f>
        <v>2</v>
      </c>
      <c r="H28" s="12">
        <f>'Table 19'!H28+'Table 20'!H28+'Table 21'!H28</f>
        <v>95</v>
      </c>
      <c r="I28" s="12">
        <f>'Table 19'!I28+'Table 20'!I28+'Table 21'!I28</f>
        <v>0</v>
      </c>
      <c r="J28" s="12">
        <f>'Table 19'!J28+'Table 20'!J28+'Table 21'!J28</f>
        <v>0</v>
      </c>
      <c r="K28" s="12">
        <f>'Table 19'!K28+'Table 20'!K28+'Table 21'!K28</f>
        <v>0</v>
      </c>
      <c r="L28" s="12">
        <f>'Table 19'!L28+'Table 20'!L28+'Table 21'!L28</f>
        <v>266</v>
      </c>
      <c r="M28" s="12">
        <f>'Table 19'!M28+'Table 20'!M28+'Table 21'!M28</f>
        <v>0</v>
      </c>
      <c r="N28" s="12">
        <f>'Table 19'!N28+'Table 20'!N28+'Table 21'!N28</f>
        <v>15</v>
      </c>
      <c r="O28" s="12">
        <f>'Table 19'!O28+'Table 20'!O28+'Table 21'!O28</f>
        <v>14</v>
      </c>
      <c r="P28" s="12">
        <f>'Table 19'!P28+'Table 20'!P28+'Table 21'!P28</f>
        <v>2</v>
      </c>
      <c r="Q28" s="12">
        <f>'Table 19'!Q28+'Table 20'!Q28+'Table 21'!Q28</f>
        <v>100</v>
      </c>
      <c r="R28" s="12">
        <f>'Table 19'!R28+'Table 20'!R28+'Table 21'!R28</f>
        <v>1</v>
      </c>
      <c r="S28" s="12">
        <f>'Table 19'!S28+'Table 20'!S28+'Table 21'!S28</f>
        <v>0</v>
      </c>
      <c r="T28" s="12">
        <f>'Table 19'!T28+'Table 20'!T28+'Table 21'!T28</f>
        <v>0</v>
      </c>
      <c r="U28" s="12">
        <f>'Table 19'!U28+'Table 20'!U28+'Table 21'!U28</f>
        <v>0</v>
      </c>
      <c r="V28" s="12">
        <f>'Table 19'!V28+'Table 20'!V28+'Table 21'!V28</f>
        <v>1</v>
      </c>
      <c r="W28" s="12">
        <f>'Table 19'!W28+'Table 20'!W28+'Table 21'!W28</f>
        <v>0</v>
      </c>
      <c r="X28" s="12">
        <f t="shared" si="0"/>
        <v>919</v>
      </c>
    </row>
    <row r="29" spans="1:24">
      <c r="A29" s="15" t="s">
        <v>56</v>
      </c>
      <c r="B29" s="15" t="s">
        <v>57</v>
      </c>
      <c r="C29" s="15">
        <v>6586118.5999999996</v>
      </c>
      <c r="D29" s="15">
        <v>343169.3</v>
      </c>
      <c r="E29" s="12">
        <f>'Table 19'!E29+'Table 20'!E29+'Table 21'!E29</f>
        <v>29</v>
      </c>
      <c r="F29" s="12">
        <f>'Table 19'!F29+'Table 20'!F29+'Table 21'!F29</f>
        <v>25</v>
      </c>
      <c r="G29" s="12">
        <f>'Table 19'!G29+'Table 20'!G29+'Table 21'!G29</f>
        <v>1</v>
      </c>
      <c r="H29" s="12">
        <f>'Table 19'!H29+'Table 20'!H29+'Table 21'!H29</f>
        <v>345</v>
      </c>
      <c r="I29" s="12">
        <f>'Table 19'!I29+'Table 20'!I29+'Table 21'!I29</f>
        <v>0</v>
      </c>
      <c r="J29" s="12">
        <f>'Table 19'!J29+'Table 20'!J29+'Table 21'!J29</f>
        <v>0</v>
      </c>
      <c r="K29" s="12">
        <f>'Table 19'!K29+'Table 20'!K29+'Table 21'!K29</f>
        <v>3</v>
      </c>
      <c r="L29" s="12">
        <f>'Table 19'!L29+'Table 20'!L29+'Table 21'!L29</f>
        <v>188</v>
      </c>
      <c r="M29" s="12">
        <f>'Table 19'!M29+'Table 20'!M29+'Table 21'!M29</f>
        <v>0</v>
      </c>
      <c r="N29" s="12">
        <f>'Table 19'!N29+'Table 20'!N29+'Table 21'!N29</f>
        <v>0</v>
      </c>
      <c r="O29" s="12">
        <f>'Table 19'!O29+'Table 20'!O29+'Table 21'!O29</f>
        <v>108</v>
      </c>
      <c r="P29" s="12">
        <f>'Table 19'!P29+'Table 20'!P29+'Table 21'!P29</f>
        <v>4</v>
      </c>
      <c r="Q29" s="12">
        <f>'Table 19'!Q29+'Table 20'!Q29+'Table 21'!Q29</f>
        <v>33</v>
      </c>
      <c r="R29" s="12">
        <f>'Table 19'!R29+'Table 20'!R29+'Table 21'!R29</f>
        <v>0</v>
      </c>
      <c r="S29" s="12">
        <f>'Table 19'!S29+'Table 20'!S29+'Table 21'!S29</f>
        <v>0</v>
      </c>
      <c r="T29" s="12">
        <f>'Table 19'!T29+'Table 20'!T29+'Table 21'!T29</f>
        <v>0</v>
      </c>
      <c r="U29" s="12">
        <f>'Table 19'!U29+'Table 20'!U29+'Table 21'!U29</f>
        <v>0</v>
      </c>
      <c r="V29" s="12">
        <f>'Table 19'!V29+'Table 20'!V29+'Table 21'!V29</f>
        <v>0</v>
      </c>
      <c r="W29" s="12">
        <f>'Table 19'!W29+'Table 20'!W29+'Table 21'!W29</f>
        <v>1</v>
      </c>
      <c r="X29" s="12">
        <f t="shared" si="0"/>
        <v>737</v>
      </c>
    </row>
    <row r="30" spans="1:24">
      <c r="A30" s="15" t="s">
        <v>58</v>
      </c>
      <c r="B30" s="15" t="s">
        <v>59</v>
      </c>
      <c r="C30" s="15">
        <v>6587819.5</v>
      </c>
      <c r="D30" s="15">
        <v>353653.5</v>
      </c>
      <c r="E30" s="12">
        <f>'Table 19'!E30+'Table 20'!E30+'Table 21'!E30</f>
        <v>170</v>
      </c>
      <c r="F30" s="12">
        <f>'Table 19'!F30+'Table 20'!F30+'Table 21'!F30</f>
        <v>7</v>
      </c>
      <c r="G30" s="12">
        <f>'Table 19'!G30+'Table 20'!G30+'Table 21'!G30</f>
        <v>2</v>
      </c>
      <c r="H30" s="12">
        <f>'Table 19'!H30+'Table 20'!H30+'Table 21'!H30</f>
        <v>192</v>
      </c>
      <c r="I30" s="12">
        <f>'Table 19'!I30+'Table 20'!I30+'Table 21'!I30</f>
        <v>20</v>
      </c>
      <c r="J30" s="12">
        <f>'Table 19'!J30+'Table 20'!J30+'Table 21'!J30</f>
        <v>0</v>
      </c>
      <c r="K30" s="12">
        <f>'Table 19'!K30+'Table 20'!K30+'Table 21'!K30</f>
        <v>13</v>
      </c>
      <c r="L30" s="12">
        <f>'Table 19'!L30+'Table 20'!L30+'Table 21'!L30</f>
        <v>129</v>
      </c>
      <c r="M30" s="12">
        <f>'Table 19'!M30+'Table 20'!M30+'Table 21'!M30</f>
        <v>0</v>
      </c>
      <c r="N30" s="12">
        <f>'Table 19'!N30+'Table 20'!N30+'Table 21'!N30</f>
        <v>1</v>
      </c>
      <c r="O30" s="12">
        <f>'Table 19'!O30+'Table 20'!O30+'Table 21'!O30</f>
        <v>8</v>
      </c>
      <c r="P30" s="12">
        <f>'Table 19'!P30+'Table 20'!P30+'Table 21'!P30</f>
        <v>24</v>
      </c>
      <c r="Q30" s="12">
        <f>'Table 19'!Q30+'Table 20'!Q30+'Table 21'!Q30</f>
        <v>56</v>
      </c>
      <c r="R30" s="12">
        <f>'Table 19'!R30+'Table 20'!R30+'Table 21'!R30</f>
        <v>0</v>
      </c>
      <c r="S30" s="12">
        <f>'Table 19'!S30+'Table 20'!S30+'Table 21'!S30</f>
        <v>0</v>
      </c>
      <c r="T30" s="12">
        <f>'Table 19'!T30+'Table 20'!T30+'Table 21'!T30</f>
        <v>0</v>
      </c>
      <c r="U30" s="12">
        <f>'Table 19'!U30+'Table 20'!U30+'Table 21'!U30</f>
        <v>0</v>
      </c>
      <c r="V30" s="12">
        <f>'Table 19'!V30+'Table 20'!V30+'Table 21'!V30</f>
        <v>0</v>
      </c>
      <c r="W30" s="12">
        <f>'Table 19'!W30+'Table 20'!W30+'Table 21'!W30</f>
        <v>0</v>
      </c>
      <c r="X30" s="12">
        <f t="shared" si="0"/>
        <v>622</v>
      </c>
    </row>
    <row r="31" spans="1:24">
      <c r="A31" s="15" t="s">
        <v>60</v>
      </c>
      <c r="B31" s="15" t="s">
        <v>61</v>
      </c>
      <c r="C31" s="15">
        <v>6586764.2999999998</v>
      </c>
      <c r="D31" s="15">
        <v>352329.3</v>
      </c>
      <c r="E31" s="12">
        <f>'Table 19'!E31+'Table 20'!E31+'Table 21'!E31</f>
        <v>136</v>
      </c>
      <c r="F31" s="12">
        <f>'Table 19'!F31+'Table 20'!F31+'Table 21'!F31</f>
        <v>0</v>
      </c>
      <c r="G31" s="12">
        <f>'Table 19'!G31+'Table 20'!G31+'Table 21'!G31</f>
        <v>0</v>
      </c>
      <c r="H31" s="12">
        <f>'Table 19'!H31+'Table 20'!H31+'Table 21'!H31</f>
        <v>200</v>
      </c>
      <c r="I31" s="12">
        <f>'Table 19'!I31+'Table 20'!I31+'Table 21'!I31</f>
        <v>1</v>
      </c>
      <c r="J31" s="12">
        <f>'Table 19'!J31+'Table 20'!J31+'Table 21'!J31</f>
        <v>0</v>
      </c>
      <c r="K31" s="12">
        <f>'Table 19'!K31+'Table 20'!K31+'Table 21'!K31</f>
        <v>47</v>
      </c>
      <c r="L31" s="12">
        <f>'Table 19'!L31+'Table 20'!L31+'Table 21'!L31</f>
        <v>178</v>
      </c>
      <c r="M31" s="12">
        <f>'Table 19'!M31+'Table 20'!M31+'Table 21'!M31</f>
        <v>0</v>
      </c>
      <c r="N31" s="12">
        <f>'Table 19'!N31+'Table 20'!N31+'Table 21'!N31</f>
        <v>7</v>
      </c>
      <c r="O31" s="12">
        <f>'Table 19'!O31+'Table 20'!O31+'Table 21'!O31</f>
        <v>4</v>
      </c>
      <c r="P31" s="12">
        <f>'Table 19'!P31+'Table 20'!P31+'Table 21'!P31</f>
        <v>14</v>
      </c>
      <c r="Q31" s="12">
        <f>'Table 19'!Q31+'Table 20'!Q31+'Table 21'!Q31</f>
        <v>52</v>
      </c>
      <c r="R31" s="12">
        <f>'Table 19'!R31+'Table 20'!R31+'Table 21'!R31</f>
        <v>0</v>
      </c>
      <c r="S31" s="12">
        <f>'Table 19'!S31+'Table 20'!S31+'Table 21'!S31</f>
        <v>0</v>
      </c>
      <c r="T31" s="12">
        <f>'Table 19'!T31+'Table 20'!T31+'Table 21'!T31</f>
        <v>0</v>
      </c>
      <c r="U31" s="12">
        <f>'Table 19'!U31+'Table 20'!U31+'Table 21'!U31</f>
        <v>0</v>
      </c>
      <c r="V31" s="12">
        <f>'Table 19'!V31+'Table 20'!V31+'Table 21'!V31</f>
        <v>0</v>
      </c>
      <c r="W31" s="12">
        <f>'Table 19'!W31+'Table 20'!W31+'Table 21'!W31</f>
        <v>0</v>
      </c>
      <c r="X31" s="12">
        <f t="shared" si="0"/>
        <v>639</v>
      </c>
    </row>
    <row r="32" spans="1:24">
      <c r="A32" s="15" t="s">
        <v>62</v>
      </c>
      <c r="B32" s="15" t="s">
        <v>63</v>
      </c>
      <c r="C32" s="15">
        <v>6585790</v>
      </c>
      <c r="D32" s="15">
        <v>344014</v>
      </c>
      <c r="E32" s="12">
        <f>'Table 19'!E32+'Table 20'!E32+'Table 21'!E32</f>
        <v>84</v>
      </c>
      <c r="F32" s="12">
        <f>'Table 19'!F32+'Table 20'!F32+'Table 21'!F32</f>
        <v>5</v>
      </c>
      <c r="G32" s="12">
        <f>'Table 19'!G32+'Table 20'!G32+'Table 21'!G32</f>
        <v>0</v>
      </c>
      <c r="H32" s="12">
        <f>'Table 19'!H32+'Table 20'!H32+'Table 21'!H32</f>
        <v>240</v>
      </c>
      <c r="I32" s="12">
        <f>'Table 19'!I32+'Table 20'!I32+'Table 21'!I32</f>
        <v>0</v>
      </c>
      <c r="J32" s="12">
        <f>'Table 19'!J32+'Table 20'!J32+'Table 21'!J32</f>
        <v>0</v>
      </c>
      <c r="K32" s="12">
        <f>'Table 19'!K32+'Table 20'!K32+'Table 21'!K32</f>
        <v>10</v>
      </c>
      <c r="L32" s="12">
        <f>'Table 19'!L32+'Table 20'!L32+'Table 21'!L32</f>
        <v>158</v>
      </c>
      <c r="M32" s="12">
        <f>'Table 19'!M32+'Table 20'!M32+'Table 21'!M32</f>
        <v>2</v>
      </c>
      <c r="N32" s="12">
        <f>'Table 19'!N32+'Table 20'!N32+'Table 21'!N32</f>
        <v>25</v>
      </c>
      <c r="O32" s="12">
        <f>'Table 19'!O32+'Table 20'!O32+'Table 21'!O32</f>
        <v>17</v>
      </c>
      <c r="P32" s="12">
        <f>'Table 19'!P32+'Table 20'!P32+'Table 21'!P32</f>
        <v>7</v>
      </c>
      <c r="Q32" s="12">
        <f>'Table 19'!Q32+'Table 20'!Q32+'Table 21'!Q32</f>
        <v>50</v>
      </c>
      <c r="R32" s="12">
        <f>'Table 19'!R32+'Table 20'!R32+'Table 21'!R32</f>
        <v>0</v>
      </c>
      <c r="S32" s="12">
        <f>'Table 19'!S32+'Table 20'!S32+'Table 21'!S32</f>
        <v>0</v>
      </c>
      <c r="T32" s="12">
        <f>'Table 19'!T32+'Table 20'!T32+'Table 21'!T32</f>
        <v>0</v>
      </c>
      <c r="U32" s="12">
        <f>'Table 19'!U32+'Table 20'!U32+'Table 21'!U32</f>
        <v>0</v>
      </c>
      <c r="V32" s="12">
        <f>'Table 19'!V32+'Table 20'!V32+'Table 21'!V32</f>
        <v>1</v>
      </c>
      <c r="W32" s="12">
        <f>'Table 19'!W32+'Table 20'!W32+'Table 21'!W32</f>
        <v>0</v>
      </c>
      <c r="X32" s="12">
        <f t="shared" si="0"/>
        <v>599</v>
      </c>
    </row>
    <row r="33" spans="1:24">
      <c r="A33" s="15" t="s">
        <v>64</v>
      </c>
      <c r="B33" s="15" t="s">
        <v>65</v>
      </c>
      <c r="C33" s="15">
        <v>6579240.2000000002</v>
      </c>
      <c r="D33" s="15">
        <v>341497.8</v>
      </c>
      <c r="E33" s="12">
        <f>'Table 19'!E33+'Table 20'!E33+'Table 21'!E33</f>
        <v>142</v>
      </c>
      <c r="F33" s="12">
        <f>'Table 19'!F33+'Table 20'!F33+'Table 21'!F33</f>
        <v>9</v>
      </c>
      <c r="G33" s="12">
        <f>'Table 19'!G33+'Table 20'!G33+'Table 21'!G33</f>
        <v>0</v>
      </c>
      <c r="H33" s="12">
        <f>'Table 19'!H33+'Table 20'!H33+'Table 21'!H33</f>
        <v>296</v>
      </c>
      <c r="I33" s="12">
        <f>'Table 19'!I33+'Table 20'!I33+'Table 21'!I33</f>
        <v>2</v>
      </c>
      <c r="J33" s="12">
        <f>'Table 19'!J33+'Table 20'!J33+'Table 21'!J33</f>
        <v>0</v>
      </c>
      <c r="K33" s="12">
        <f>'Table 19'!K33+'Table 20'!K33+'Table 21'!K33</f>
        <v>17</v>
      </c>
      <c r="L33" s="12">
        <f>'Table 19'!L33+'Table 20'!L33+'Table 21'!L33</f>
        <v>220</v>
      </c>
      <c r="M33" s="12">
        <f>'Table 19'!M33+'Table 20'!M33+'Table 21'!M33</f>
        <v>1</v>
      </c>
      <c r="N33" s="12">
        <f>'Table 19'!N33+'Table 20'!N33+'Table 21'!N33</f>
        <v>0</v>
      </c>
      <c r="O33" s="12">
        <f>'Table 19'!O33+'Table 20'!O33+'Table 21'!O33</f>
        <v>27</v>
      </c>
      <c r="P33" s="12">
        <f>'Table 19'!P33+'Table 20'!P33+'Table 21'!P33</f>
        <v>6</v>
      </c>
      <c r="Q33" s="12">
        <f>'Table 19'!Q33+'Table 20'!Q33+'Table 21'!Q33</f>
        <v>49</v>
      </c>
      <c r="R33" s="12">
        <f>'Table 19'!R33+'Table 20'!R33+'Table 21'!R33</f>
        <v>0</v>
      </c>
      <c r="S33" s="12">
        <f>'Table 19'!S33+'Table 20'!S33+'Table 21'!S33</f>
        <v>0</v>
      </c>
      <c r="T33" s="12">
        <f>'Table 19'!T33+'Table 20'!T33+'Table 21'!T33</f>
        <v>0</v>
      </c>
      <c r="U33" s="12">
        <f>'Table 19'!U33+'Table 20'!U33+'Table 21'!U33</f>
        <v>0</v>
      </c>
      <c r="V33" s="12">
        <f>'Table 19'!V33+'Table 20'!V33+'Table 21'!V33</f>
        <v>1</v>
      </c>
      <c r="W33" s="12">
        <f>'Table 19'!W33+'Table 20'!W33+'Table 21'!W33</f>
        <v>0</v>
      </c>
      <c r="X33" s="12">
        <f t="shared" si="0"/>
        <v>770</v>
      </c>
    </row>
    <row r="34" spans="1:24" s="13" customFormat="1">
      <c r="A34" s="15" t="s">
        <v>66</v>
      </c>
      <c r="B34" s="15" t="s">
        <v>67</v>
      </c>
      <c r="C34" s="15">
        <v>6579158</v>
      </c>
      <c r="D34" s="15">
        <v>341781.4</v>
      </c>
      <c r="E34" s="12">
        <f>'Table 19'!E34+'Table 20'!E34+'Table 21'!E34</f>
        <v>235</v>
      </c>
      <c r="F34" s="12">
        <f>'Table 19'!F34+'Table 20'!F34+'Table 21'!F34</f>
        <v>12</v>
      </c>
      <c r="G34" s="12">
        <f>'Table 19'!G34+'Table 20'!G34+'Table 21'!G34</f>
        <v>1</v>
      </c>
      <c r="H34" s="12">
        <f>'Table 19'!H34+'Table 20'!H34+'Table 21'!H34</f>
        <v>281</v>
      </c>
      <c r="I34" s="12">
        <f>'Table 19'!I34+'Table 20'!I34+'Table 21'!I34</f>
        <v>6</v>
      </c>
      <c r="J34" s="12">
        <f>'Table 19'!J34+'Table 20'!J34+'Table 21'!J34</f>
        <v>0</v>
      </c>
      <c r="K34" s="12">
        <f>'Table 19'!K34+'Table 20'!K34+'Table 21'!K34</f>
        <v>13</v>
      </c>
      <c r="L34" s="12">
        <f>'Table 19'!L34+'Table 20'!L34+'Table 21'!L34</f>
        <v>183</v>
      </c>
      <c r="M34" s="12">
        <f>'Table 19'!M34+'Table 20'!M34+'Table 21'!M34</f>
        <v>2</v>
      </c>
      <c r="N34" s="12">
        <f>'Table 19'!N34+'Table 20'!N34+'Table 21'!N34</f>
        <v>0</v>
      </c>
      <c r="O34" s="12">
        <f>'Table 19'!O34+'Table 20'!O34+'Table 21'!O34</f>
        <v>19</v>
      </c>
      <c r="P34" s="12">
        <f>'Table 19'!P34+'Table 20'!P34+'Table 21'!P34</f>
        <v>9</v>
      </c>
      <c r="Q34" s="12">
        <f>'Table 19'!Q34+'Table 20'!Q34+'Table 21'!Q34</f>
        <v>31</v>
      </c>
      <c r="R34" s="12">
        <f>'Table 19'!R34+'Table 20'!R34+'Table 21'!R34</f>
        <v>0</v>
      </c>
      <c r="S34" s="12">
        <f>'Table 19'!S34+'Table 20'!S34+'Table 21'!S34</f>
        <v>0</v>
      </c>
      <c r="T34" s="12">
        <f>'Table 19'!T34+'Table 20'!T34+'Table 21'!T34</f>
        <v>0</v>
      </c>
      <c r="U34" s="12">
        <f>'Table 19'!U34+'Table 20'!U34+'Table 21'!U34</f>
        <v>0</v>
      </c>
      <c r="V34" s="12">
        <f>'Table 19'!V34+'Table 20'!V34+'Table 21'!V34</f>
        <v>0</v>
      </c>
      <c r="W34" s="12">
        <f>'Table 19'!W34+'Table 20'!W34+'Table 21'!W34</f>
        <v>0</v>
      </c>
      <c r="X34" s="12">
        <f t="shared" si="0"/>
        <v>792</v>
      </c>
    </row>
    <row r="35" spans="1:24" s="13" customFormat="1">
      <c r="A35" s="15" t="s">
        <v>68</v>
      </c>
      <c r="B35" s="15" t="s">
        <v>69</v>
      </c>
      <c r="C35" s="15">
        <v>6579164.2999999998</v>
      </c>
      <c r="D35" s="15">
        <v>342054.5</v>
      </c>
      <c r="E35" s="12">
        <f>'Table 19'!E35+'Table 20'!E35+'Table 21'!E35</f>
        <v>110</v>
      </c>
      <c r="F35" s="12">
        <f>'Table 19'!F35+'Table 20'!F35+'Table 21'!F35</f>
        <v>21</v>
      </c>
      <c r="G35" s="12">
        <f>'Table 19'!G35+'Table 20'!G35+'Table 21'!G35</f>
        <v>2</v>
      </c>
      <c r="H35" s="12">
        <f>'Table 19'!H35+'Table 20'!H35+'Table 21'!H35</f>
        <v>291</v>
      </c>
      <c r="I35" s="12">
        <f>'Table 19'!I35+'Table 20'!I35+'Table 21'!I35</f>
        <v>2</v>
      </c>
      <c r="J35" s="12">
        <f>'Table 19'!J35+'Table 20'!J35+'Table 21'!J35</f>
        <v>0</v>
      </c>
      <c r="K35" s="12">
        <f>'Table 19'!K35+'Table 20'!K35+'Table 21'!K35</f>
        <v>23</v>
      </c>
      <c r="L35" s="12">
        <f>'Table 19'!L35+'Table 20'!L35+'Table 21'!L35</f>
        <v>172</v>
      </c>
      <c r="M35" s="12">
        <f>'Table 19'!M35+'Table 20'!M35+'Table 21'!M35</f>
        <v>0</v>
      </c>
      <c r="N35" s="12">
        <f>'Table 19'!N35+'Table 20'!N35+'Table 21'!N35</f>
        <v>0</v>
      </c>
      <c r="O35" s="12">
        <f>'Table 19'!O35+'Table 20'!O35+'Table 21'!O35</f>
        <v>32</v>
      </c>
      <c r="P35" s="12">
        <f>'Table 19'!P35+'Table 20'!P35+'Table 21'!P35</f>
        <v>10</v>
      </c>
      <c r="Q35" s="12">
        <f>'Table 19'!Q35+'Table 20'!Q35+'Table 21'!Q35</f>
        <v>52</v>
      </c>
      <c r="R35" s="12">
        <f>'Table 19'!R35+'Table 20'!R35+'Table 21'!R35</f>
        <v>1</v>
      </c>
      <c r="S35" s="12">
        <f>'Table 19'!S35+'Table 20'!S35+'Table 21'!S35</f>
        <v>0</v>
      </c>
      <c r="T35" s="12">
        <f>'Table 19'!T35+'Table 20'!T35+'Table 21'!T35</f>
        <v>0</v>
      </c>
      <c r="U35" s="12">
        <f>'Table 19'!U35+'Table 20'!U35+'Table 21'!U35</f>
        <v>1</v>
      </c>
      <c r="V35" s="12">
        <f>'Table 19'!V35+'Table 20'!V35+'Table 21'!V35</f>
        <v>0</v>
      </c>
      <c r="W35" s="12">
        <f>'Table 19'!W35+'Table 20'!W35+'Table 21'!W35</f>
        <v>1</v>
      </c>
      <c r="X35" s="12">
        <f t="shared" si="0"/>
        <v>718</v>
      </c>
    </row>
    <row r="36" spans="1:24" s="13" customFormat="1">
      <c r="A36" s="15" t="s">
        <v>70</v>
      </c>
      <c r="B36" s="15" t="s">
        <v>71</v>
      </c>
      <c r="C36" s="15">
        <v>6579181</v>
      </c>
      <c r="D36" s="15">
        <v>342236.9</v>
      </c>
      <c r="E36" s="12">
        <f>'Table 19'!E36+'Table 20'!E36+'Table 21'!E36</f>
        <v>191</v>
      </c>
      <c r="F36" s="12">
        <f>'Table 19'!F36+'Table 20'!F36+'Table 21'!F36</f>
        <v>23</v>
      </c>
      <c r="G36" s="12">
        <f>'Table 19'!G36+'Table 20'!G36+'Table 21'!G36</f>
        <v>3</v>
      </c>
      <c r="H36" s="12">
        <f>'Table 19'!H36+'Table 20'!H36+'Table 21'!H36</f>
        <v>271</v>
      </c>
      <c r="I36" s="12">
        <f>'Table 19'!I36+'Table 20'!I36+'Table 21'!I36</f>
        <v>12</v>
      </c>
      <c r="J36" s="12">
        <f>'Table 19'!J36+'Table 20'!J36+'Table 21'!J36</f>
        <v>1</v>
      </c>
      <c r="K36" s="12">
        <f>'Table 19'!K36+'Table 20'!K36+'Table 21'!K36</f>
        <v>18</v>
      </c>
      <c r="L36" s="12">
        <f>'Table 19'!L36+'Table 20'!L36+'Table 21'!L36</f>
        <v>163</v>
      </c>
      <c r="M36" s="12">
        <f>'Table 19'!M36+'Table 20'!M36+'Table 21'!M36</f>
        <v>2</v>
      </c>
      <c r="N36" s="12">
        <f>'Table 19'!N36+'Table 20'!N36+'Table 21'!N36</f>
        <v>0</v>
      </c>
      <c r="O36" s="12">
        <f>'Table 19'!O36+'Table 20'!O36+'Table 21'!O36</f>
        <v>46</v>
      </c>
      <c r="P36" s="12">
        <f>'Table 19'!P36+'Table 20'!P36+'Table 21'!P36</f>
        <v>4</v>
      </c>
      <c r="Q36" s="12">
        <f>'Table 19'!Q36+'Table 20'!Q36+'Table 21'!Q36</f>
        <v>46</v>
      </c>
      <c r="R36" s="12">
        <f>'Table 19'!R36+'Table 20'!R36+'Table 21'!R36</f>
        <v>0</v>
      </c>
      <c r="S36" s="12">
        <f>'Table 19'!S36+'Table 20'!S36+'Table 21'!S36</f>
        <v>0</v>
      </c>
      <c r="T36" s="12">
        <f>'Table 19'!T36+'Table 20'!T36+'Table 21'!T36</f>
        <v>0</v>
      </c>
      <c r="U36" s="12">
        <f>'Table 19'!U36+'Table 20'!U36+'Table 21'!U36</f>
        <v>1</v>
      </c>
      <c r="V36" s="12">
        <f>'Table 19'!V36+'Table 20'!V36+'Table 21'!V36</f>
        <v>1</v>
      </c>
      <c r="W36" s="12">
        <f>'Table 19'!W36+'Table 20'!W36+'Table 21'!W36</f>
        <v>0</v>
      </c>
      <c r="X36" s="12">
        <f t="shared" si="0"/>
        <v>782</v>
      </c>
    </row>
    <row r="37" spans="1:24" s="13" customFormat="1">
      <c r="A37" s="15" t="s">
        <v>72</v>
      </c>
      <c r="B37" s="15" t="s">
        <v>73</v>
      </c>
      <c r="C37" s="15">
        <v>6579332.4000000004</v>
      </c>
      <c r="D37" s="15">
        <v>342206.7</v>
      </c>
      <c r="E37" s="12">
        <f>'Table 19'!E37+'Table 20'!E37+'Table 21'!E37</f>
        <v>180</v>
      </c>
      <c r="F37" s="12">
        <f>'Table 19'!F37+'Table 20'!F37+'Table 21'!F37</f>
        <v>17</v>
      </c>
      <c r="G37" s="12">
        <f>'Table 19'!G37+'Table 20'!G37+'Table 21'!G37</f>
        <v>4</v>
      </c>
      <c r="H37" s="12">
        <f>'Table 19'!H37+'Table 20'!H37+'Table 21'!H37</f>
        <v>354</v>
      </c>
      <c r="I37" s="12">
        <f>'Table 19'!I37+'Table 20'!I37+'Table 21'!I37</f>
        <v>7</v>
      </c>
      <c r="J37" s="12">
        <f>'Table 19'!J37+'Table 20'!J37+'Table 21'!J37</f>
        <v>0</v>
      </c>
      <c r="K37" s="12">
        <f>'Table 19'!K37+'Table 20'!K37+'Table 21'!K37</f>
        <v>15</v>
      </c>
      <c r="L37" s="12">
        <f>'Table 19'!L37+'Table 20'!L37+'Table 21'!L37</f>
        <v>276</v>
      </c>
      <c r="M37" s="12">
        <f>'Table 19'!M37+'Table 20'!M37+'Table 21'!M37</f>
        <v>0</v>
      </c>
      <c r="N37" s="12">
        <f>'Table 19'!N37+'Table 20'!N37+'Table 21'!N37</f>
        <v>0</v>
      </c>
      <c r="O37" s="12">
        <f>'Table 19'!O37+'Table 20'!O37+'Table 21'!O37</f>
        <v>28</v>
      </c>
      <c r="P37" s="12">
        <f>'Table 19'!P37+'Table 20'!P37+'Table 21'!P37</f>
        <v>4</v>
      </c>
      <c r="Q37" s="12">
        <f>'Table 19'!Q37+'Table 20'!Q37+'Table 21'!Q37</f>
        <v>54</v>
      </c>
      <c r="R37" s="12">
        <f>'Table 19'!R37+'Table 20'!R37+'Table 21'!R37</f>
        <v>0</v>
      </c>
      <c r="S37" s="12">
        <f>'Table 19'!S37+'Table 20'!S37+'Table 21'!S37</f>
        <v>0</v>
      </c>
      <c r="T37" s="12">
        <f>'Table 19'!T37+'Table 20'!T37+'Table 21'!T37</f>
        <v>0</v>
      </c>
      <c r="U37" s="12">
        <f>'Table 19'!U37+'Table 20'!U37+'Table 21'!U37</f>
        <v>0</v>
      </c>
      <c r="V37" s="12">
        <f>'Table 19'!V37+'Table 20'!V37+'Table 21'!V37</f>
        <v>0</v>
      </c>
      <c r="W37" s="12">
        <f>'Table 19'!W37+'Table 20'!W37+'Table 21'!W37</f>
        <v>2</v>
      </c>
      <c r="X37" s="12">
        <f t="shared" si="0"/>
        <v>941</v>
      </c>
    </row>
    <row r="38" spans="1:24" s="13" customFormat="1">
      <c r="A38" s="15" t="s">
        <v>74</v>
      </c>
      <c r="B38" s="15" t="s">
        <v>75</v>
      </c>
      <c r="C38" s="15">
        <v>6579319.7999999998</v>
      </c>
      <c r="D38" s="15">
        <v>342002.5</v>
      </c>
      <c r="E38" s="12">
        <f>'Table 19'!E38+'Table 20'!E38+'Table 21'!E38</f>
        <v>136</v>
      </c>
      <c r="F38" s="12">
        <f>'Table 19'!F38+'Table 20'!F38+'Table 21'!F38</f>
        <v>19</v>
      </c>
      <c r="G38" s="12">
        <f>'Table 19'!G38+'Table 20'!G38+'Table 21'!G38</f>
        <v>3</v>
      </c>
      <c r="H38" s="12">
        <f>'Table 19'!H38+'Table 20'!H38+'Table 21'!H38</f>
        <v>297</v>
      </c>
      <c r="I38" s="12">
        <f>'Table 19'!I38+'Table 20'!I38+'Table 21'!I38</f>
        <v>7</v>
      </c>
      <c r="J38" s="12">
        <f>'Table 19'!J38+'Table 20'!J38+'Table 21'!J38</f>
        <v>0</v>
      </c>
      <c r="K38" s="12">
        <f>'Table 19'!K38+'Table 20'!K38+'Table 21'!K38</f>
        <v>30</v>
      </c>
      <c r="L38" s="12">
        <f>'Table 19'!L38+'Table 20'!L38+'Table 21'!L38</f>
        <v>171</v>
      </c>
      <c r="M38" s="12">
        <f>'Table 19'!M38+'Table 20'!M38+'Table 21'!M38</f>
        <v>0</v>
      </c>
      <c r="N38" s="12">
        <f>'Table 19'!N38+'Table 20'!N38+'Table 21'!N38</f>
        <v>0</v>
      </c>
      <c r="O38" s="12">
        <f>'Table 19'!O38+'Table 20'!O38+'Table 21'!O38</f>
        <v>36</v>
      </c>
      <c r="P38" s="12">
        <f>'Table 19'!P38+'Table 20'!P38+'Table 21'!P38</f>
        <v>12</v>
      </c>
      <c r="Q38" s="12">
        <f>'Table 19'!Q38+'Table 20'!Q38+'Table 21'!Q38</f>
        <v>53</v>
      </c>
      <c r="R38" s="12">
        <f>'Table 19'!R38+'Table 20'!R38+'Table 21'!R38</f>
        <v>1</v>
      </c>
      <c r="S38" s="12">
        <f>'Table 19'!S38+'Table 20'!S38+'Table 21'!S38</f>
        <v>0</v>
      </c>
      <c r="T38" s="12">
        <f>'Table 19'!T38+'Table 20'!T38+'Table 21'!T38</f>
        <v>0</v>
      </c>
      <c r="U38" s="12">
        <f>'Table 19'!U38+'Table 20'!U38+'Table 21'!U38</f>
        <v>0</v>
      </c>
      <c r="V38" s="12">
        <f>'Table 19'!V38+'Table 20'!V38+'Table 21'!V38</f>
        <v>0</v>
      </c>
      <c r="W38" s="12">
        <f>'Table 19'!W38+'Table 20'!W38+'Table 21'!W38</f>
        <v>0</v>
      </c>
      <c r="X38" s="12">
        <f t="shared" si="0"/>
        <v>765</v>
      </c>
    </row>
    <row r="39" spans="1:24" s="13" customFormat="1">
      <c r="A39" s="15" t="s">
        <v>76</v>
      </c>
      <c r="B39" s="15" t="s">
        <v>77</v>
      </c>
      <c r="C39" s="15">
        <v>6579713.2000000002</v>
      </c>
      <c r="D39" s="15">
        <v>342412.4</v>
      </c>
      <c r="E39" s="12">
        <f>'Table 19'!E39+'Table 20'!E39+'Table 21'!E39</f>
        <v>117</v>
      </c>
      <c r="F39" s="12">
        <f>'Table 19'!F39+'Table 20'!F39+'Table 21'!F39</f>
        <v>21</v>
      </c>
      <c r="G39" s="12">
        <f>'Table 19'!G39+'Table 20'!G39+'Table 21'!G39</f>
        <v>3</v>
      </c>
      <c r="H39" s="12">
        <f>'Table 19'!H39+'Table 20'!H39+'Table 21'!H39</f>
        <v>203</v>
      </c>
      <c r="I39" s="12">
        <f>'Table 19'!I39+'Table 20'!I39+'Table 21'!I39</f>
        <v>10</v>
      </c>
      <c r="J39" s="12">
        <f>'Table 19'!J39+'Table 20'!J39+'Table 21'!J39</f>
        <v>0</v>
      </c>
      <c r="K39" s="12">
        <f>'Table 19'!K39+'Table 20'!K39+'Table 21'!K39</f>
        <v>12</v>
      </c>
      <c r="L39" s="12">
        <f>'Table 19'!L39+'Table 20'!L39+'Table 21'!L39</f>
        <v>101</v>
      </c>
      <c r="M39" s="12">
        <f>'Table 19'!M39+'Table 20'!M39+'Table 21'!M39</f>
        <v>0</v>
      </c>
      <c r="N39" s="12">
        <f>'Table 19'!N39+'Table 20'!N39+'Table 21'!N39</f>
        <v>0</v>
      </c>
      <c r="O39" s="12">
        <f>'Table 19'!O39+'Table 20'!O39+'Table 21'!O39</f>
        <v>33</v>
      </c>
      <c r="P39" s="12">
        <f>'Table 19'!P39+'Table 20'!P39+'Table 21'!P39</f>
        <v>5</v>
      </c>
      <c r="Q39" s="12">
        <f>'Table 19'!Q39+'Table 20'!Q39+'Table 21'!Q39</f>
        <v>33</v>
      </c>
      <c r="R39" s="12">
        <f>'Table 19'!R39+'Table 20'!R39+'Table 21'!R39</f>
        <v>0</v>
      </c>
      <c r="S39" s="12">
        <f>'Table 19'!S39+'Table 20'!S39+'Table 21'!S39</f>
        <v>0</v>
      </c>
      <c r="T39" s="12">
        <f>'Table 19'!T39+'Table 20'!T39+'Table 21'!T39</f>
        <v>0</v>
      </c>
      <c r="U39" s="12">
        <f>'Table 19'!U39+'Table 20'!U39+'Table 21'!U39</f>
        <v>1</v>
      </c>
      <c r="V39" s="12">
        <f>'Table 19'!V39+'Table 20'!V39+'Table 21'!V39</f>
        <v>0</v>
      </c>
      <c r="W39" s="12">
        <f>'Table 19'!W39+'Table 20'!W39+'Table 21'!W39</f>
        <v>0</v>
      </c>
      <c r="X39" s="12">
        <f t="shared" si="0"/>
        <v>539</v>
      </c>
    </row>
    <row r="40" spans="1:24" s="13" customFormat="1">
      <c r="A40" s="15" t="s">
        <v>78</v>
      </c>
      <c r="B40" s="15" t="s">
        <v>79</v>
      </c>
      <c r="C40" s="15">
        <v>6579763.5</v>
      </c>
      <c r="D40" s="15">
        <v>341592.9</v>
      </c>
      <c r="E40" s="12">
        <f>'Table 19'!E40+'Table 20'!E40+'Table 21'!E40</f>
        <v>79</v>
      </c>
      <c r="F40" s="12">
        <f>'Table 19'!F40+'Table 20'!F40+'Table 21'!F40</f>
        <v>13</v>
      </c>
      <c r="G40" s="12">
        <f>'Table 19'!G40+'Table 20'!G40+'Table 21'!G40</f>
        <v>7</v>
      </c>
      <c r="H40" s="12">
        <f>'Table 19'!H40+'Table 20'!H40+'Table 21'!H40</f>
        <v>302</v>
      </c>
      <c r="I40" s="12">
        <f>'Table 19'!I40+'Table 20'!I40+'Table 21'!I40</f>
        <v>28</v>
      </c>
      <c r="J40" s="12">
        <f>'Table 19'!J40+'Table 20'!J40+'Table 21'!J40</f>
        <v>1</v>
      </c>
      <c r="K40" s="12">
        <f>'Table 19'!K40+'Table 20'!K40+'Table 21'!K40</f>
        <v>16</v>
      </c>
      <c r="L40" s="12">
        <f>'Table 19'!L40+'Table 20'!L40+'Table 21'!L40</f>
        <v>156</v>
      </c>
      <c r="M40" s="12">
        <f>'Table 19'!M40+'Table 20'!M40+'Table 21'!M40</f>
        <v>2</v>
      </c>
      <c r="N40" s="12">
        <f>'Table 19'!N40+'Table 20'!N40+'Table 21'!N40</f>
        <v>0</v>
      </c>
      <c r="O40" s="12">
        <f>'Table 19'!O40+'Table 20'!O40+'Table 21'!O40</f>
        <v>21</v>
      </c>
      <c r="P40" s="12">
        <f>'Table 19'!P40+'Table 20'!P40+'Table 21'!P40</f>
        <v>1</v>
      </c>
      <c r="Q40" s="12">
        <f>'Table 19'!Q40+'Table 20'!Q40+'Table 21'!Q40</f>
        <v>43</v>
      </c>
      <c r="R40" s="12">
        <f>'Table 19'!R40+'Table 20'!R40+'Table 21'!R40</f>
        <v>0</v>
      </c>
      <c r="S40" s="12">
        <f>'Table 19'!S40+'Table 20'!S40+'Table 21'!S40</f>
        <v>0</v>
      </c>
      <c r="T40" s="12">
        <f>'Table 19'!T40+'Table 20'!T40+'Table 21'!T40</f>
        <v>0</v>
      </c>
      <c r="U40" s="12">
        <f>'Table 19'!U40+'Table 20'!U40+'Table 21'!U40</f>
        <v>1</v>
      </c>
      <c r="V40" s="12">
        <f>'Table 19'!V40+'Table 20'!V40+'Table 21'!V40</f>
        <v>0</v>
      </c>
      <c r="W40" s="12">
        <f>'Table 19'!W40+'Table 20'!W40+'Table 21'!W40</f>
        <v>1</v>
      </c>
      <c r="X40" s="12">
        <f t="shared" si="0"/>
        <v>671</v>
      </c>
    </row>
    <row r="41" spans="1:24" s="13" customFormat="1">
      <c r="A41" s="15" t="s">
        <v>80</v>
      </c>
      <c r="B41" s="15" t="s">
        <v>81</v>
      </c>
      <c r="C41" s="15">
        <v>6579431</v>
      </c>
      <c r="D41" s="15">
        <v>342544</v>
      </c>
      <c r="E41" s="12">
        <f>'Table 19'!E41+'Table 20'!E41+'Table 21'!E41</f>
        <v>104</v>
      </c>
      <c r="F41" s="12">
        <f>'Table 19'!F41+'Table 20'!F41+'Table 21'!F41</f>
        <v>26</v>
      </c>
      <c r="G41" s="12">
        <f>'Table 19'!G41+'Table 20'!G41+'Table 21'!G41</f>
        <v>6</v>
      </c>
      <c r="H41" s="12">
        <f>'Table 19'!H41+'Table 20'!H41+'Table 21'!H41</f>
        <v>369</v>
      </c>
      <c r="I41" s="12">
        <f>'Table 19'!I41+'Table 20'!I41+'Table 21'!I41</f>
        <v>11</v>
      </c>
      <c r="J41" s="12">
        <f>'Table 19'!J41+'Table 20'!J41+'Table 21'!J41</f>
        <v>0</v>
      </c>
      <c r="K41" s="12">
        <f>'Table 19'!K41+'Table 20'!K41+'Table 21'!K41</f>
        <v>14</v>
      </c>
      <c r="L41" s="12">
        <f>'Table 19'!L41+'Table 20'!L41+'Table 21'!L41</f>
        <v>138</v>
      </c>
      <c r="M41" s="12">
        <f>'Table 19'!M41+'Table 20'!M41+'Table 21'!M41</f>
        <v>3</v>
      </c>
      <c r="N41" s="12">
        <f>'Table 19'!N41+'Table 20'!N41+'Table 21'!N41</f>
        <v>0</v>
      </c>
      <c r="O41" s="12">
        <f>'Table 19'!O41+'Table 20'!O41+'Table 21'!O41</f>
        <v>48</v>
      </c>
      <c r="P41" s="12">
        <f>'Table 19'!P41+'Table 20'!P41+'Table 21'!P41</f>
        <v>2</v>
      </c>
      <c r="Q41" s="12">
        <f>'Table 19'!Q41+'Table 20'!Q41+'Table 21'!Q41</f>
        <v>46</v>
      </c>
      <c r="R41" s="12">
        <f>'Table 19'!R41+'Table 20'!R41+'Table 21'!R41</f>
        <v>0</v>
      </c>
      <c r="S41" s="12">
        <f>'Table 19'!S41+'Table 20'!S41+'Table 21'!S41</f>
        <v>0</v>
      </c>
      <c r="T41" s="12">
        <f>'Table 19'!T41+'Table 20'!T41+'Table 21'!T41</f>
        <v>0</v>
      </c>
      <c r="U41" s="12">
        <f>'Table 19'!U41+'Table 20'!U41+'Table 21'!U41</f>
        <v>0</v>
      </c>
      <c r="V41" s="12">
        <f>'Table 19'!V41+'Table 20'!V41+'Table 21'!V41</f>
        <v>1</v>
      </c>
      <c r="W41" s="12">
        <f>'Table 19'!W41+'Table 20'!W41+'Table 21'!W41</f>
        <v>0</v>
      </c>
      <c r="X41" s="12">
        <f t="shared" si="0"/>
        <v>768</v>
      </c>
    </row>
    <row r="42" spans="1:24" s="13" customFormat="1">
      <c r="A42" s="15" t="s">
        <v>82</v>
      </c>
      <c r="B42" s="15" t="s">
        <v>83</v>
      </c>
      <c r="C42" s="15">
        <v>6585234.5999999996</v>
      </c>
      <c r="D42" s="15">
        <v>343449.9</v>
      </c>
      <c r="E42" s="12">
        <f>'Table 19'!E42+'Table 20'!E42+'Table 21'!E42</f>
        <v>51</v>
      </c>
      <c r="F42" s="12">
        <f>'Table 19'!F42+'Table 20'!F42+'Table 21'!F42</f>
        <v>2</v>
      </c>
      <c r="G42" s="12">
        <f>'Table 19'!G42+'Table 20'!G42+'Table 21'!G42</f>
        <v>1</v>
      </c>
      <c r="H42" s="12">
        <f>'Table 19'!H42+'Table 20'!H42+'Table 21'!H42</f>
        <v>163</v>
      </c>
      <c r="I42" s="12">
        <f>'Table 19'!I42+'Table 20'!I42+'Table 21'!I42</f>
        <v>1</v>
      </c>
      <c r="J42" s="12">
        <f>'Table 19'!J42+'Table 20'!J42+'Table 21'!J42</f>
        <v>0</v>
      </c>
      <c r="K42" s="12">
        <f>'Table 19'!K42+'Table 20'!K42+'Table 21'!K42</f>
        <v>58</v>
      </c>
      <c r="L42" s="12">
        <f>'Table 19'!L42+'Table 20'!L42+'Table 21'!L42</f>
        <v>124</v>
      </c>
      <c r="M42" s="12">
        <f>'Table 19'!M42+'Table 20'!M42+'Table 21'!M42</f>
        <v>0</v>
      </c>
      <c r="N42" s="12">
        <f>'Table 19'!N42+'Table 20'!N42+'Table 21'!N42</f>
        <v>13</v>
      </c>
      <c r="O42" s="12">
        <f>'Table 19'!O42+'Table 20'!O42+'Table 21'!O42</f>
        <v>1</v>
      </c>
      <c r="P42" s="12">
        <f>'Table 19'!P42+'Table 20'!P42+'Table 21'!P42</f>
        <v>9</v>
      </c>
      <c r="Q42" s="12">
        <f>'Table 19'!Q42+'Table 20'!Q42+'Table 21'!Q42</f>
        <v>56</v>
      </c>
      <c r="R42" s="12">
        <f>'Table 19'!R42+'Table 20'!R42+'Table 21'!R42</f>
        <v>0</v>
      </c>
      <c r="S42" s="12">
        <f>'Table 19'!S42+'Table 20'!S42+'Table 21'!S42</f>
        <v>0</v>
      </c>
      <c r="T42" s="12">
        <f>'Table 19'!T42+'Table 20'!T42+'Table 21'!T42</f>
        <v>0</v>
      </c>
      <c r="U42" s="12">
        <f>'Table 19'!U42+'Table 20'!U42+'Table 21'!U42</f>
        <v>0</v>
      </c>
      <c r="V42" s="12">
        <f>'Table 19'!V42+'Table 20'!V42+'Table 21'!V42</f>
        <v>0</v>
      </c>
      <c r="W42" s="12">
        <f>'Table 19'!W42+'Table 20'!W42+'Table 21'!W42</f>
        <v>0</v>
      </c>
      <c r="X42" s="12">
        <f t="shared" si="0"/>
        <v>479</v>
      </c>
    </row>
    <row r="43" spans="1:24" s="13" customFormat="1">
      <c r="A43" s="15" t="s">
        <v>84</v>
      </c>
      <c r="B43" s="15" t="s">
        <v>85</v>
      </c>
      <c r="C43" s="15">
        <v>6579525.4000000004</v>
      </c>
      <c r="D43" s="15">
        <v>341986.3</v>
      </c>
      <c r="E43" s="12">
        <f>'Table 19'!E43+'Table 20'!E43+'Table 21'!E43</f>
        <v>210</v>
      </c>
      <c r="F43" s="12">
        <f>'Table 19'!F43+'Table 20'!F43+'Table 21'!F43</f>
        <v>9</v>
      </c>
      <c r="G43" s="12">
        <f>'Table 19'!G43+'Table 20'!G43+'Table 21'!G43</f>
        <v>0</v>
      </c>
      <c r="H43" s="12">
        <f>'Table 19'!H43+'Table 20'!H43+'Table 21'!H43</f>
        <v>277</v>
      </c>
      <c r="I43" s="12">
        <f>'Table 19'!I43+'Table 20'!I43+'Table 21'!I43</f>
        <v>19</v>
      </c>
      <c r="J43" s="12">
        <f>'Table 19'!J43+'Table 20'!J43+'Table 21'!J43</f>
        <v>0</v>
      </c>
      <c r="K43" s="12">
        <f>'Table 19'!K43+'Table 20'!K43+'Table 21'!K43</f>
        <v>43</v>
      </c>
      <c r="L43" s="12">
        <f>'Table 19'!L43+'Table 20'!L43+'Table 21'!L43</f>
        <v>264</v>
      </c>
      <c r="M43" s="12">
        <f>'Table 19'!M43+'Table 20'!M43+'Table 21'!M43</f>
        <v>1</v>
      </c>
      <c r="N43" s="12">
        <f>'Table 19'!N43+'Table 20'!N43+'Table 21'!N43</f>
        <v>0</v>
      </c>
      <c r="O43" s="12">
        <f>'Table 19'!O43+'Table 20'!O43+'Table 21'!O43</f>
        <v>22</v>
      </c>
      <c r="P43" s="12">
        <f>'Table 19'!P43+'Table 20'!P43+'Table 21'!P43</f>
        <v>4</v>
      </c>
      <c r="Q43" s="12">
        <f>'Table 19'!Q43+'Table 20'!Q43+'Table 21'!Q43</f>
        <v>60</v>
      </c>
      <c r="R43" s="12">
        <f>'Table 19'!R43+'Table 20'!R43+'Table 21'!R43</f>
        <v>1</v>
      </c>
      <c r="S43" s="12">
        <f>'Table 19'!S43+'Table 20'!S43+'Table 21'!S43</f>
        <v>1</v>
      </c>
      <c r="T43" s="12">
        <f>'Table 19'!T43+'Table 20'!T43+'Table 21'!T43</f>
        <v>0</v>
      </c>
      <c r="U43" s="12">
        <f>'Table 19'!U43+'Table 20'!U43+'Table 21'!U43</f>
        <v>0</v>
      </c>
      <c r="V43" s="12">
        <f>'Table 19'!V43+'Table 20'!V43+'Table 21'!V43</f>
        <v>0</v>
      </c>
      <c r="W43" s="12">
        <f>'Table 19'!W43+'Table 20'!W43+'Table 21'!W43</f>
        <v>1</v>
      </c>
      <c r="X43" s="12">
        <f t="shared" si="0"/>
        <v>912</v>
      </c>
    </row>
    <row r="46" spans="1:24" s="13" customFormat="1">
      <c r="A46" s="15"/>
      <c r="B46" s="15"/>
      <c r="C46" s="15"/>
      <c r="D46" s="15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</row>
    <row r="47" spans="1:24" s="13" customFormat="1">
      <c r="A47" s="15"/>
      <c r="B47" s="15"/>
      <c r="C47" s="15"/>
      <c r="D47" s="15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</row>
  </sheetData>
  <mergeCells count="8">
    <mergeCell ref="L1:P1"/>
    <mergeCell ref="R1:W1"/>
    <mergeCell ref="A1:A2"/>
    <mergeCell ref="B1:B2"/>
    <mergeCell ref="C1:C2"/>
    <mergeCell ref="D1:D2"/>
    <mergeCell ref="E1:H1"/>
    <mergeCell ref="I1:K1"/>
  </mergeCells>
  <printOptions gridLines="1"/>
  <pageMargins left="0.7" right="0.7" top="0.75" bottom="0.75" header="0.3" footer="0.3"/>
  <pageSetup paperSize="17" scale="90" orientation="landscape" r:id="rId1"/>
  <headerFooter>
    <oddFooter>Page 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Y47"/>
  <sheetViews>
    <sheetView workbookViewId="0">
      <pane ySplit="2" topLeftCell="A3" activePane="bottomLeft" state="frozen"/>
      <selection pane="bottomLeft" activeCell="H26" sqref="H26"/>
    </sheetView>
  </sheetViews>
  <sheetFormatPr defaultRowHeight="15"/>
  <cols>
    <col min="1" max="1" width="11.140625" style="15" customWidth="1"/>
    <col min="2" max="2" width="11.42578125" style="15" customWidth="1"/>
    <col min="3" max="3" width="12.5703125" style="15" bestFit="1" customWidth="1"/>
    <col min="4" max="4" width="11.5703125" style="15" bestFit="1" customWidth="1"/>
    <col min="5" max="5" width="10.42578125" style="12" customWidth="1"/>
    <col min="6" max="6" width="8.85546875" style="12" customWidth="1"/>
    <col min="7" max="7" width="7.42578125" style="12" customWidth="1"/>
    <col min="8" max="8" width="8.85546875" style="12" bestFit="1" customWidth="1"/>
    <col min="9" max="9" width="13.85546875" style="12" customWidth="1"/>
    <col min="10" max="10" width="11.42578125" style="12" customWidth="1"/>
    <col min="11" max="11" width="9.5703125" style="12" customWidth="1"/>
    <col min="12" max="12" width="8.85546875" style="12" customWidth="1"/>
    <col min="13" max="13" width="10.85546875" style="12" customWidth="1"/>
    <col min="14" max="14" width="9.42578125" style="12" customWidth="1"/>
    <col min="15" max="15" width="12.28515625" style="12" customWidth="1"/>
    <col min="16" max="16" width="11.42578125" style="12" customWidth="1"/>
    <col min="17" max="17" width="8.5703125" style="12" bestFit="1" customWidth="1"/>
    <col min="18" max="18" width="8.5703125" style="12" customWidth="1"/>
    <col min="19" max="19" width="13.5703125" style="12" customWidth="1"/>
    <col min="20" max="20" width="11.5703125" style="12" customWidth="1"/>
    <col min="21" max="21" width="5.85546875" style="12" customWidth="1"/>
    <col min="22" max="22" width="8.5703125" style="12" customWidth="1"/>
    <col min="23" max="23" width="16.7109375" style="12" customWidth="1"/>
    <col min="24" max="24" width="7.28515625" style="12" customWidth="1"/>
    <col min="25" max="16384" width="9.140625" style="14"/>
  </cols>
  <sheetData>
    <row r="1" spans="1:25" ht="19.5" thickBot="1">
      <c r="A1" s="27" t="s">
        <v>92</v>
      </c>
      <c r="B1" s="27" t="s">
        <v>93</v>
      </c>
      <c r="C1" s="29" t="s">
        <v>2</v>
      </c>
      <c r="D1" s="29" t="s">
        <v>3</v>
      </c>
      <c r="E1" s="24" t="s">
        <v>96</v>
      </c>
      <c r="F1" s="25"/>
      <c r="G1" s="25"/>
      <c r="H1" s="26"/>
      <c r="I1" s="24" t="s">
        <v>86</v>
      </c>
      <c r="J1" s="25"/>
      <c r="K1" s="26"/>
      <c r="L1" s="24" t="s">
        <v>97</v>
      </c>
      <c r="M1" s="25"/>
      <c r="N1" s="25"/>
      <c r="O1" s="25"/>
      <c r="P1" s="26"/>
      <c r="R1" s="24" t="s">
        <v>91</v>
      </c>
      <c r="S1" s="25"/>
      <c r="T1" s="25"/>
      <c r="U1" s="25"/>
      <c r="V1" s="25"/>
      <c r="W1" s="26"/>
      <c r="Y1" s="13"/>
    </row>
    <row r="2" spans="1:25" s="7" customFormat="1" ht="65.25" customHeight="1" thickBot="1">
      <c r="A2" s="28"/>
      <c r="B2" s="28"/>
      <c r="C2" s="30"/>
      <c r="D2" s="30"/>
      <c r="E2" s="8" t="s">
        <v>109</v>
      </c>
      <c r="F2" s="9" t="s">
        <v>94</v>
      </c>
      <c r="G2" s="9" t="s">
        <v>87</v>
      </c>
      <c r="H2" s="10" t="s">
        <v>95</v>
      </c>
      <c r="I2" s="8" t="s">
        <v>98</v>
      </c>
      <c r="J2" s="9" t="s">
        <v>99</v>
      </c>
      <c r="K2" s="10" t="s">
        <v>100</v>
      </c>
      <c r="L2" s="8" t="s">
        <v>102</v>
      </c>
      <c r="M2" s="9" t="s">
        <v>88</v>
      </c>
      <c r="N2" s="9" t="s">
        <v>101</v>
      </c>
      <c r="O2" s="9" t="s">
        <v>110</v>
      </c>
      <c r="P2" s="10" t="s">
        <v>89</v>
      </c>
      <c r="Q2" s="11" t="s">
        <v>90</v>
      </c>
      <c r="R2" s="8" t="s">
        <v>103</v>
      </c>
      <c r="S2" s="9" t="s">
        <v>111</v>
      </c>
      <c r="T2" s="9" t="s">
        <v>105</v>
      </c>
      <c r="U2" s="9" t="s">
        <v>106</v>
      </c>
      <c r="V2" s="9" t="s">
        <v>107</v>
      </c>
      <c r="W2" s="10" t="s">
        <v>108</v>
      </c>
      <c r="X2" s="11" t="s">
        <v>0</v>
      </c>
    </row>
    <row r="3" spans="1:25" s="13" customFormat="1">
      <c r="A3" s="15" t="s">
        <v>4</v>
      </c>
      <c r="B3" s="15" t="s">
        <v>5</v>
      </c>
      <c r="C3" s="15">
        <v>6581465</v>
      </c>
      <c r="D3" s="15">
        <v>346600</v>
      </c>
      <c r="E3" s="12">
        <f>'Table 22'!E3/'Table 22'!$X3*100</f>
        <v>24.65986394557823</v>
      </c>
      <c r="F3" s="12">
        <f>'Table 22'!F3/'Table 22'!$X3*100</f>
        <v>1.7006802721088436</v>
      </c>
      <c r="G3" s="12">
        <f>'Table 22'!G3/'Table 22'!$X3*100</f>
        <v>0.85034013605442182</v>
      </c>
      <c r="H3" s="12">
        <f>'Table 22'!H3/'Table 22'!$X3*100</f>
        <v>42.857142857142854</v>
      </c>
      <c r="I3" s="12">
        <f>'Table 22'!I3/'Table 22'!$X3*100</f>
        <v>0</v>
      </c>
      <c r="J3" s="17">
        <f>'Table 22'!J3/'Table 22'!$X3*100</f>
        <v>0</v>
      </c>
      <c r="K3" s="12">
        <f>'Table 22'!K3/'Table 22'!$X3*100</f>
        <v>1.0204081632653061</v>
      </c>
      <c r="L3" s="12">
        <f>'Table 22'!L3/'Table 22'!$X3*100</f>
        <v>17.857142857142858</v>
      </c>
      <c r="M3" s="12">
        <f>'Table 22'!M3/'Table 22'!$X3*100</f>
        <v>0.51020408163265307</v>
      </c>
      <c r="N3" s="12">
        <f>'Table 22'!N3/'Table 22'!$X3*100</f>
        <v>0.51020408163265307</v>
      </c>
      <c r="O3" s="12">
        <f>'Table 22'!O3/'Table 22'!$X3*100</f>
        <v>1.1904761904761905</v>
      </c>
      <c r="P3" s="12">
        <f>'Table 22'!P3/'Table 22'!$X3*100</f>
        <v>1.0204081632653061</v>
      </c>
      <c r="Q3" s="12">
        <f>'Table 22'!Q3/'Table 22'!$X3*100</f>
        <v>7.3129251700680271</v>
      </c>
      <c r="R3" s="17">
        <f>'Table 22'!R3/'Table 22'!$X3*100</f>
        <v>0.3401360544217687</v>
      </c>
      <c r="S3" s="17">
        <f>'Table 22'!S3/'Table 22'!$X3*100</f>
        <v>0</v>
      </c>
      <c r="T3" s="17">
        <f>'Table 22'!T3/'Table 22'!$X3*100</f>
        <v>0</v>
      </c>
      <c r="U3" s="17">
        <f>'Table 22'!U3/'Table 22'!$X3*100</f>
        <v>0.17006802721088435</v>
      </c>
      <c r="V3" s="17">
        <f>'Table 22'!V3/'Table 22'!$X3*100</f>
        <v>0</v>
      </c>
      <c r="W3" s="17">
        <f>'Table 22'!W3/'Table 22'!$X3*100</f>
        <v>0</v>
      </c>
      <c r="X3" s="12">
        <f>SUM(E3:W3)</f>
        <v>99.999999999999986</v>
      </c>
    </row>
    <row r="4" spans="1:25" s="13" customFormat="1">
      <c r="A4" s="15" t="s">
        <v>6</v>
      </c>
      <c r="B4" s="15" t="s">
        <v>7</v>
      </c>
      <c r="C4" s="15">
        <v>6581542.75</v>
      </c>
      <c r="D4" s="15">
        <v>347517.37</v>
      </c>
      <c r="E4" s="12">
        <f>'Table 22'!E4/'Table 22'!$X4*100</f>
        <v>30.612244897959183</v>
      </c>
      <c r="F4" s="12">
        <f>'Table 22'!F4/'Table 22'!$X4*100</f>
        <v>2.1865889212827989</v>
      </c>
      <c r="G4" s="12">
        <f>'Table 22'!G4/'Table 22'!$X4*100</f>
        <v>0.43731778425655976</v>
      </c>
      <c r="H4" s="12">
        <f>'Table 22'!H4/'Table 22'!$X4*100</f>
        <v>32.215743440233233</v>
      </c>
      <c r="I4" s="12">
        <f>'Table 22'!I4/'Table 22'!$X4*100</f>
        <v>0</v>
      </c>
      <c r="J4" s="17">
        <f>'Table 22'!J4/'Table 22'!$X4*100</f>
        <v>0</v>
      </c>
      <c r="K4" s="12">
        <f>'Table 22'!K4/'Table 22'!$X4*100</f>
        <v>0.29154518950437319</v>
      </c>
      <c r="L4" s="12">
        <f>'Table 22'!L4/'Table 22'!$X4*100</f>
        <v>22.886297376093296</v>
      </c>
      <c r="M4" s="12">
        <f>'Table 22'!M4/'Table 22'!$X4*100</f>
        <v>0.1457725947521866</v>
      </c>
      <c r="N4" s="12">
        <f>'Table 22'!N4/'Table 22'!$X4*100</f>
        <v>0.43731778425655976</v>
      </c>
      <c r="O4" s="12">
        <f>'Table 22'!O4/'Table 22'!$X4*100</f>
        <v>2.6239067055393588</v>
      </c>
      <c r="P4" s="12">
        <f>'Table 22'!P4/'Table 22'!$X4*100</f>
        <v>1.4577259475218658</v>
      </c>
      <c r="Q4" s="12">
        <f>'Table 22'!Q4/'Table 22'!$X4*100</f>
        <v>6.5597667638483959</v>
      </c>
      <c r="R4" s="17">
        <f>'Table 22'!R4/'Table 22'!$X4*100</f>
        <v>0</v>
      </c>
      <c r="S4" s="17">
        <f>'Table 22'!S4/'Table 22'!$X4*100</f>
        <v>0</v>
      </c>
      <c r="T4" s="17">
        <f>'Table 22'!T4/'Table 22'!$X4*100</f>
        <v>0</v>
      </c>
      <c r="U4" s="17">
        <f>'Table 22'!U4/'Table 22'!$X4*100</f>
        <v>0</v>
      </c>
      <c r="V4" s="17">
        <f>'Table 22'!V4/'Table 22'!$X4*100</f>
        <v>0</v>
      </c>
      <c r="W4" s="17">
        <f>'Table 22'!W4/'Table 22'!$X4*100</f>
        <v>0.1457725947521866</v>
      </c>
      <c r="X4" s="12">
        <f t="shared" ref="X4:X43" si="0">SUM(E4:W4)</f>
        <v>100.00000000000001</v>
      </c>
    </row>
    <row r="5" spans="1:25" s="13" customFormat="1">
      <c r="A5" s="15" t="s">
        <v>8</v>
      </c>
      <c r="B5" s="15" t="s">
        <v>9</v>
      </c>
      <c r="C5" s="15">
        <v>6580994.7999999998</v>
      </c>
      <c r="D5" s="15">
        <v>345963.6</v>
      </c>
      <c r="E5" s="12">
        <f>'Table 22'!E5/'Table 22'!$X5*100</f>
        <v>26.666666666666668</v>
      </c>
      <c r="F5" s="12">
        <f>'Table 22'!F5/'Table 22'!$X5*100</f>
        <v>1.2903225806451613</v>
      </c>
      <c r="G5" s="12">
        <f>'Table 22'!G5/'Table 22'!$X5*100</f>
        <v>0</v>
      </c>
      <c r="H5" s="12">
        <f>'Table 22'!H5/'Table 22'!$X5*100</f>
        <v>27.311827956989248</v>
      </c>
      <c r="I5" s="12">
        <f>'Table 22'!I5/'Table 22'!$X5*100</f>
        <v>0</v>
      </c>
      <c r="J5" s="17">
        <f>'Table 22'!J5/'Table 22'!$X5*100</f>
        <v>0</v>
      </c>
      <c r="K5" s="12">
        <f>'Table 22'!K5/'Table 22'!$X5*100</f>
        <v>0</v>
      </c>
      <c r="L5" s="12">
        <f>'Table 22'!L5/'Table 22'!$X5*100</f>
        <v>39.677419354838712</v>
      </c>
      <c r="M5" s="12">
        <f>'Table 22'!M5/'Table 22'!$X5*100</f>
        <v>0</v>
      </c>
      <c r="N5" s="12">
        <f>'Table 22'!N5/'Table 22'!$X5*100</f>
        <v>0.32258064516129031</v>
      </c>
      <c r="O5" s="12">
        <f>'Table 22'!O5/'Table 22'!$X5*100</f>
        <v>0.75268817204301075</v>
      </c>
      <c r="P5" s="12">
        <f>'Table 22'!P5/'Table 22'!$X5*100</f>
        <v>0</v>
      </c>
      <c r="Q5" s="12">
        <f>'Table 22'!Q5/'Table 22'!$X5*100</f>
        <v>3.978494623655914</v>
      </c>
      <c r="R5" s="17">
        <f>'Table 22'!R5/'Table 22'!$X5*100</f>
        <v>0</v>
      </c>
      <c r="S5" s="17">
        <f>'Table 22'!S5/'Table 22'!$X5*100</f>
        <v>0</v>
      </c>
      <c r="T5" s="17">
        <f>'Table 22'!T5/'Table 22'!$X5*100</f>
        <v>0</v>
      </c>
      <c r="U5" s="17">
        <f>'Table 22'!U5/'Table 22'!$X5*100</f>
        <v>0</v>
      </c>
      <c r="V5" s="17">
        <f>'Table 22'!V5/'Table 22'!$X5*100</f>
        <v>0</v>
      </c>
      <c r="W5" s="17">
        <f>'Table 22'!W5/'Table 22'!$X5*100</f>
        <v>0</v>
      </c>
      <c r="X5" s="12">
        <f t="shared" si="0"/>
        <v>100</v>
      </c>
    </row>
    <row r="6" spans="1:25" s="13" customFormat="1">
      <c r="A6" s="15" t="s">
        <v>10</v>
      </c>
      <c r="B6" s="15" t="s">
        <v>11</v>
      </c>
      <c r="C6" s="15">
        <v>6583705.7999999998</v>
      </c>
      <c r="D6" s="15">
        <v>351451.9</v>
      </c>
      <c r="E6" s="12">
        <f>'Table 22'!E6/'Table 22'!$X6*100</f>
        <v>9.8712446351931327</v>
      </c>
      <c r="F6" s="12">
        <f>'Table 22'!F6/'Table 22'!$X6*100</f>
        <v>1.8597997138769671</v>
      </c>
      <c r="G6" s="12">
        <f>'Table 22'!G6/'Table 22'!$X6*100</f>
        <v>1.0014306151645207</v>
      </c>
      <c r="H6" s="12">
        <f>'Table 22'!H6/'Table 22'!$X6*100</f>
        <v>36.909871244635198</v>
      </c>
      <c r="I6" s="12">
        <f>'Table 22'!I6/'Table 22'!$X6*100</f>
        <v>0</v>
      </c>
      <c r="J6" s="17">
        <f>'Table 22'!J6/'Table 22'!$X6*100</f>
        <v>0</v>
      </c>
      <c r="K6" s="12">
        <f>'Table 22'!K6/'Table 22'!$X6*100</f>
        <v>2.1459227467811157</v>
      </c>
      <c r="L6" s="12">
        <f>'Table 22'!L6/'Table 22'!$X6*100</f>
        <v>35.765379113018597</v>
      </c>
      <c r="M6" s="12">
        <f>'Table 22'!M6/'Table 22'!$X6*100</f>
        <v>0.14306151645207438</v>
      </c>
      <c r="N6" s="12">
        <f>'Table 22'!N6/'Table 22'!$X6*100</f>
        <v>1.7167381974248928</v>
      </c>
      <c r="O6" s="12">
        <f>'Table 22'!O6/'Table 22'!$X6*100</f>
        <v>2.1459227467811157</v>
      </c>
      <c r="P6" s="12">
        <f>'Table 22'!P6/'Table 22'!$X6*100</f>
        <v>0.57224606580829751</v>
      </c>
      <c r="Q6" s="12">
        <f>'Table 22'!Q6/'Table 22'!$X6*100</f>
        <v>7.7253218884120178</v>
      </c>
      <c r="R6" s="17">
        <f>'Table 22'!R6/'Table 22'!$X6*100</f>
        <v>0</v>
      </c>
      <c r="S6" s="17">
        <f>'Table 22'!S6/'Table 22'!$X6*100</f>
        <v>0</v>
      </c>
      <c r="T6" s="17">
        <f>'Table 22'!T6/'Table 22'!$X6*100</f>
        <v>0</v>
      </c>
      <c r="U6" s="17">
        <f>'Table 22'!U6/'Table 22'!$X6*100</f>
        <v>0</v>
      </c>
      <c r="V6" s="17">
        <f>'Table 22'!V6/'Table 22'!$X6*100</f>
        <v>0.14306151645207438</v>
      </c>
      <c r="W6" s="17">
        <f>'Table 22'!W6/'Table 22'!$X6*100</f>
        <v>0</v>
      </c>
      <c r="X6" s="12">
        <f t="shared" si="0"/>
        <v>100</v>
      </c>
    </row>
    <row r="7" spans="1:25" s="13" customFormat="1">
      <c r="A7" s="15" t="s">
        <v>12</v>
      </c>
      <c r="B7" s="15" t="s">
        <v>13</v>
      </c>
      <c r="C7" s="15">
        <v>6585327.2000000002</v>
      </c>
      <c r="D7" s="15">
        <v>351107.1</v>
      </c>
      <c r="E7" s="12">
        <f>'Table 22'!E7/'Table 22'!$X7*100</f>
        <v>18.541033434650455</v>
      </c>
      <c r="F7" s="12">
        <f>'Table 22'!F7/'Table 22'!$X7*100</f>
        <v>2.1276595744680851</v>
      </c>
      <c r="G7" s="12">
        <f>'Table 22'!G7/'Table 22'!$X7*100</f>
        <v>1.3677811550151975</v>
      </c>
      <c r="H7" s="12">
        <f>'Table 22'!H7/'Table 22'!$X7*100</f>
        <v>31.610942249240122</v>
      </c>
      <c r="I7" s="12">
        <f>'Table 22'!I7/'Table 22'!$X7*100</f>
        <v>0</v>
      </c>
      <c r="J7" s="17">
        <f>'Table 22'!J7/'Table 22'!$X7*100</f>
        <v>0</v>
      </c>
      <c r="K7" s="12">
        <f>'Table 22'!K7/'Table 22'!$X7*100</f>
        <v>1.3677811550151975</v>
      </c>
      <c r="L7" s="12">
        <f>'Table 22'!L7/'Table 22'!$X7*100</f>
        <v>27.507598784194531</v>
      </c>
      <c r="M7" s="12">
        <f>'Table 22'!M7/'Table 22'!$X7*100</f>
        <v>0</v>
      </c>
      <c r="N7" s="12">
        <f>'Table 22'!N7/'Table 22'!$X7*100</f>
        <v>0.45592705167173248</v>
      </c>
      <c r="O7" s="12">
        <f>'Table 22'!O7/'Table 22'!$X7*100</f>
        <v>3.3434650455927049</v>
      </c>
      <c r="P7" s="12">
        <f>'Table 22'!P7/'Table 22'!$X7*100</f>
        <v>3.6474164133738598</v>
      </c>
      <c r="Q7" s="12">
        <f>'Table 22'!Q7/'Table 22'!$X7*100</f>
        <v>9.8784194528875382</v>
      </c>
      <c r="R7" s="17">
        <f>'Table 22'!R7/'Table 22'!$X7*100</f>
        <v>0</v>
      </c>
      <c r="S7" s="17">
        <f>'Table 22'!S7/'Table 22'!$X7*100</f>
        <v>0</v>
      </c>
      <c r="T7" s="17">
        <f>'Table 22'!T7/'Table 22'!$X7*100</f>
        <v>0</v>
      </c>
      <c r="U7" s="17">
        <f>'Table 22'!U7/'Table 22'!$X7*100</f>
        <v>0</v>
      </c>
      <c r="V7" s="17">
        <f>'Table 22'!V7/'Table 22'!$X7*100</f>
        <v>0.1519756838905775</v>
      </c>
      <c r="W7" s="17">
        <f>'Table 22'!W7/'Table 22'!$X7*100</f>
        <v>0</v>
      </c>
      <c r="X7" s="12">
        <f t="shared" si="0"/>
        <v>100.00000000000001</v>
      </c>
    </row>
    <row r="8" spans="1:25" s="13" customFormat="1">
      <c r="A8" s="15" t="s">
        <v>14</v>
      </c>
      <c r="B8" s="15" t="s">
        <v>15</v>
      </c>
      <c r="C8" s="15">
        <v>6580536.7999999998</v>
      </c>
      <c r="D8" s="15">
        <v>347328.3</v>
      </c>
      <c r="E8" s="12">
        <f>'Table 22'!E8/'Table 22'!$X8*100</f>
        <v>21.29032258064516</v>
      </c>
      <c r="F8" s="12">
        <f>'Table 22'!F8/'Table 22'!$X8*100</f>
        <v>1.4516129032258065</v>
      </c>
      <c r="G8" s="12">
        <f>'Table 22'!G8/'Table 22'!$X8*100</f>
        <v>0</v>
      </c>
      <c r="H8" s="12">
        <f>'Table 22'!H8/'Table 22'!$X8*100</f>
        <v>35.161290322580648</v>
      </c>
      <c r="I8" s="12">
        <f>'Table 22'!I8/'Table 22'!$X8*100</f>
        <v>0</v>
      </c>
      <c r="J8" s="17">
        <f>'Table 22'!J8/'Table 22'!$X8*100</f>
        <v>0</v>
      </c>
      <c r="K8" s="12">
        <f>'Table 22'!K8/'Table 22'!$X8*100</f>
        <v>0</v>
      </c>
      <c r="L8" s="12">
        <f>'Table 22'!L8/'Table 22'!$X8*100</f>
        <v>16.29032258064516</v>
      </c>
      <c r="M8" s="12">
        <f>'Table 22'!M8/'Table 22'!$X8*100</f>
        <v>0</v>
      </c>
      <c r="N8" s="12">
        <f>'Table 22'!N8/'Table 22'!$X8*100</f>
        <v>0.16129032258064516</v>
      </c>
      <c r="O8" s="12">
        <f>'Table 22'!O8/'Table 22'!$X8*100</f>
        <v>3.7096774193548385</v>
      </c>
      <c r="P8" s="12">
        <f>'Table 22'!P8/'Table 22'!$X8*100</f>
        <v>0.32258064516129031</v>
      </c>
      <c r="Q8" s="12">
        <f>'Table 22'!Q8/'Table 22'!$X8*100</f>
        <v>21.451612903225804</v>
      </c>
      <c r="R8" s="17">
        <f>'Table 22'!R8/'Table 22'!$X8*100</f>
        <v>0</v>
      </c>
      <c r="S8" s="17">
        <f>'Table 22'!S8/'Table 22'!$X8*100</f>
        <v>0</v>
      </c>
      <c r="T8" s="17">
        <f>'Table 22'!T8/'Table 22'!$X8*100</f>
        <v>0</v>
      </c>
      <c r="U8" s="17">
        <f>'Table 22'!U8/'Table 22'!$X8*100</f>
        <v>0.16129032258064516</v>
      </c>
      <c r="V8" s="17">
        <f>'Table 22'!V8/'Table 22'!$X8*100</f>
        <v>0</v>
      </c>
      <c r="W8" s="17">
        <f>'Table 22'!W8/'Table 22'!$X8*100</f>
        <v>0</v>
      </c>
      <c r="X8" s="12">
        <f t="shared" si="0"/>
        <v>99.999999999999986</v>
      </c>
    </row>
    <row r="9" spans="1:25" s="13" customFormat="1">
      <c r="A9" s="15" t="s">
        <v>16</v>
      </c>
      <c r="B9" s="15" t="s">
        <v>17</v>
      </c>
      <c r="C9" s="15">
        <v>6587928.7000000002</v>
      </c>
      <c r="D9" s="15">
        <v>350635.4</v>
      </c>
      <c r="E9" s="12">
        <f>'Table 22'!E9/'Table 22'!$X9*100</f>
        <v>15.498938428874734</v>
      </c>
      <c r="F9" s="12">
        <f>'Table 22'!F9/'Table 22'!$X9*100</f>
        <v>0</v>
      </c>
      <c r="G9" s="12">
        <f>'Table 22'!G9/'Table 22'!$X9*100</f>
        <v>0</v>
      </c>
      <c r="H9" s="12">
        <f>'Table 22'!H9/'Table 22'!$X9*100</f>
        <v>16.560509554140125</v>
      </c>
      <c r="I9" s="12">
        <f>'Table 22'!I9/'Table 22'!$X9*100</f>
        <v>0.95541401273885351</v>
      </c>
      <c r="J9" s="17">
        <f>'Table 22'!J9/'Table 22'!$X9*100</f>
        <v>0</v>
      </c>
      <c r="K9" s="12">
        <f>'Table 22'!K9/'Table 22'!$X9*100</f>
        <v>0.10615711252653928</v>
      </c>
      <c r="L9" s="12">
        <f>'Table 22'!L9/'Table 22'!$X9*100</f>
        <v>59.554140127388536</v>
      </c>
      <c r="M9" s="12">
        <f>'Table 22'!M9/'Table 22'!$X9*100</f>
        <v>0</v>
      </c>
      <c r="N9" s="12">
        <f>'Table 22'!N9/'Table 22'!$X9*100</f>
        <v>1.5923566878980893</v>
      </c>
      <c r="O9" s="12">
        <f>'Table 22'!O9/'Table 22'!$X9*100</f>
        <v>0</v>
      </c>
      <c r="P9" s="12">
        <f>'Table 22'!P9/'Table 22'!$X9*100</f>
        <v>0</v>
      </c>
      <c r="Q9" s="12">
        <f>'Table 22'!Q9/'Table 22'!$X9*100</f>
        <v>5.7324840764331215</v>
      </c>
      <c r="R9" s="17">
        <f>'Table 22'!R9/'Table 22'!$X9*100</f>
        <v>0</v>
      </c>
      <c r="S9" s="17">
        <f>'Table 22'!S9/'Table 22'!$X9*100</f>
        <v>0</v>
      </c>
      <c r="T9" s="17">
        <f>'Table 22'!T9/'Table 22'!$X9*100</f>
        <v>0</v>
      </c>
      <c r="U9" s="17">
        <f>'Table 22'!U9/'Table 22'!$X9*100</f>
        <v>0</v>
      </c>
      <c r="V9" s="17">
        <f>'Table 22'!V9/'Table 22'!$X9*100</f>
        <v>0</v>
      </c>
      <c r="W9" s="17">
        <f>'Table 22'!W9/'Table 22'!$X9*100</f>
        <v>0</v>
      </c>
      <c r="X9" s="12">
        <f t="shared" si="0"/>
        <v>100</v>
      </c>
    </row>
    <row r="10" spans="1:25" s="13" customFormat="1">
      <c r="A10" s="15" t="s">
        <v>18</v>
      </c>
      <c r="B10" s="15" t="s">
        <v>19</v>
      </c>
      <c r="C10" s="15">
        <v>6589195.0999999996</v>
      </c>
      <c r="D10" s="15">
        <v>351269.1</v>
      </c>
      <c r="E10" s="12">
        <f>'Table 22'!E10/'Table 22'!$X10*100</f>
        <v>17.029972752043594</v>
      </c>
      <c r="F10" s="12">
        <f>'Table 22'!F10/'Table 22'!$X10*100</f>
        <v>0.68119891008174382</v>
      </c>
      <c r="G10" s="12">
        <f>'Table 22'!G10/'Table 22'!$X10*100</f>
        <v>0</v>
      </c>
      <c r="H10" s="12">
        <f>'Table 22'!H10/'Table 22'!$X10*100</f>
        <v>21.798365122615802</v>
      </c>
      <c r="I10" s="12">
        <f>'Table 22'!I10/'Table 22'!$X10*100</f>
        <v>0</v>
      </c>
      <c r="J10" s="17">
        <f>'Table 22'!J10/'Table 22'!$X10*100</f>
        <v>0</v>
      </c>
      <c r="K10" s="12">
        <f>'Table 22'!K10/'Table 22'!$X10*100</f>
        <v>0.81743869209809261</v>
      </c>
      <c r="L10" s="12">
        <f>'Table 22'!L10/'Table 22'!$X10*100</f>
        <v>39.645776566757498</v>
      </c>
      <c r="M10" s="12">
        <f>'Table 22'!M10/'Table 22'!$X10*100</f>
        <v>0</v>
      </c>
      <c r="N10" s="12">
        <f>'Table 22'!N10/'Table 22'!$X10*100</f>
        <v>0.9536784741144414</v>
      </c>
      <c r="O10" s="12">
        <f>'Table 22'!O10/'Table 22'!$X10*100</f>
        <v>0.9536784741144414</v>
      </c>
      <c r="P10" s="12">
        <f>'Table 22'!P10/'Table 22'!$X10*100</f>
        <v>12.125340599455042</v>
      </c>
      <c r="Q10" s="12">
        <f>'Table 22'!Q10/'Table 22'!$X10*100</f>
        <v>5.4495912806539506</v>
      </c>
      <c r="R10" s="17">
        <f>'Table 22'!R10/'Table 22'!$X10*100</f>
        <v>0</v>
      </c>
      <c r="S10" s="17">
        <f>'Table 22'!S10/'Table 22'!$X10*100</f>
        <v>0</v>
      </c>
      <c r="T10" s="17">
        <f>'Table 22'!T10/'Table 22'!$X10*100</f>
        <v>0.13623978201634876</v>
      </c>
      <c r="U10" s="17">
        <f>'Table 22'!U10/'Table 22'!$X10*100</f>
        <v>0.13623978201634876</v>
      </c>
      <c r="V10" s="17">
        <f>'Table 22'!V10/'Table 22'!$X10*100</f>
        <v>0.27247956403269752</v>
      </c>
      <c r="W10" s="17">
        <f>'Table 22'!W10/'Table 22'!$X10*100</f>
        <v>0</v>
      </c>
      <c r="X10" s="12">
        <f t="shared" si="0"/>
        <v>99.999999999999986</v>
      </c>
    </row>
    <row r="11" spans="1:25" s="13" customFormat="1">
      <c r="A11" s="15" t="s">
        <v>20</v>
      </c>
      <c r="B11" s="15" t="s">
        <v>21</v>
      </c>
      <c r="C11" s="15">
        <v>6589311.4000000004</v>
      </c>
      <c r="D11" s="15">
        <v>348240.8</v>
      </c>
      <c r="E11" s="12">
        <f>'Table 22'!E11/'Table 22'!$X11*100</f>
        <v>21.052631578947366</v>
      </c>
      <c r="F11" s="12">
        <f>'Table 22'!F11/'Table 22'!$X11*100</f>
        <v>1.1916583912611718</v>
      </c>
      <c r="G11" s="12">
        <f>'Table 22'!G11/'Table 22'!$X11*100</f>
        <v>0</v>
      </c>
      <c r="H11" s="12">
        <f>'Table 22'!H11/'Table 22'!$X11*100</f>
        <v>19.066534260178749</v>
      </c>
      <c r="I11" s="12">
        <f>'Table 22'!I11/'Table 22'!$X11*100</f>
        <v>0</v>
      </c>
      <c r="J11" s="17">
        <f>'Table 22'!J11/'Table 22'!$X11*100</f>
        <v>0</v>
      </c>
      <c r="K11" s="12">
        <f>'Table 22'!K11/'Table 22'!$X11*100</f>
        <v>9.9304865938430978E-2</v>
      </c>
      <c r="L11" s="12">
        <f>'Table 22'!L11/'Table 22'!$X11*100</f>
        <v>37.735849056603776</v>
      </c>
      <c r="M11" s="12">
        <f>'Table 22'!M11/'Table 22'!$X11*100</f>
        <v>0.59582919563058589</v>
      </c>
      <c r="N11" s="12">
        <f>'Table 22'!N11/'Table 22'!$X11*100</f>
        <v>11.618669314796424</v>
      </c>
      <c r="O11" s="12">
        <f>'Table 22'!O11/'Table 22'!$X11*100</f>
        <v>2.7805362462760672</v>
      </c>
      <c r="P11" s="12">
        <f>'Table 22'!P11/'Table 22'!$X11*100</f>
        <v>0.79443892750744782</v>
      </c>
      <c r="Q11" s="12">
        <f>'Table 22'!Q11/'Table 22'!$X11*100</f>
        <v>5.06454816285998</v>
      </c>
      <c r="R11" s="17">
        <f>'Table 22'!R11/'Table 22'!$X11*100</f>
        <v>0</v>
      </c>
      <c r="S11" s="17">
        <f>'Table 22'!S11/'Table 22'!$X11*100</f>
        <v>0</v>
      </c>
      <c r="T11" s="17">
        <f>'Table 22'!T11/'Table 22'!$X11*100</f>
        <v>0</v>
      </c>
      <c r="U11" s="17">
        <f>'Table 22'!U11/'Table 22'!$X11*100</f>
        <v>0</v>
      </c>
      <c r="V11" s="17">
        <f>'Table 22'!V11/'Table 22'!$X11*100</f>
        <v>0</v>
      </c>
      <c r="W11" s="17">
        <f>'Table 22'!W11/'Table 22'!$X11*100</f>
        <v>0</v>
      </c>
      <c r="X11" s="12">
        <f t="shared" si="0"/>
        <v>99.999999999999986</v>
      </c>
    </row>
    <row r="12" spans="1:25" s="13" customFormat="1">
      <c r="A12" s="15" t="s">
        <v>22</v>
      </c>
      <c r="B12" s="15" t="s">
        <v>23</v>
      </c>
      <c r="C12" s="15">
        <v>6589480.5999999996</v>
      </c>
      <c r="D12" s="15">
        <v>348282.9</v>
      </c>
      <c r="E12" s="12">
        <f>'Table 22'!E12/'Table 22'!$X12*100</f>
        <v>25</v>
      </c>
      <c r="F12" s="12">
        <f>'Table 22'!F12/'Table 22'!$X12*100</f>
        <v>3.834355828220859</v>
      </c>
      <c r="G12" s="12">
        <f>'Table 22'!G12/'Table 22'!$X12*100</f>
        <v>0.76687116564417179</v>
      </c>
      <c r="H12" s="12">
        <f>'Table 22'!H12/'Table 22'!$X12*100</f>
        <v>30.061349693251532</v>
      </c>
      <c r="I12" s="12">
        <f>'Table 22'!I12/'Table 22'!$X12*100</f>
        <v>0</v>
      </c>
      <c r="J12" s="17">
        <f>'Table 22'!J12/'Table 22'!$X12*100</f>
        <v>0</v>
      </c>
      <c r="K12" s="13">
        <f>'Table 22'!K12/'Table 22'!$X12*100</f>
        <v>0.61349693251533743</v>
      </c>
      <c r="L12" s="12">
        <f>'Table 22'!L12/'Table 22'!$X12*100</f>
        <v>23.619631901840492</v>
      </c>
      <c r="M12" s="12">
        <f>'Table 22'!M12/'Table 22'!$X12*100</f>
        <v>0</v>
      </c>
      <c r="N12" s="12">
        <f>'Table 22'!N12/'Table 22'!$X12*100</f>
        <v>4.7546012269938656</v>
      </c>
      <c r="O12" s="12">
        <f>'Table 22'!O12/'Table 22'!$X12*100</f>
        <v>0.76687116564417179</v>
      </c>
      <c r="P12" s="12">
        <f>'Table 22'!P12/'Table 22'!$X12*100</f>
        <v>2.4539877300613497</v>
      </c>
      <c r="Q12" s="12">
        <f>'Table 22'!Q12/'Table 22'!$X12*100</f>
        <v>7.6687116564417179</v>
      </c>
      <c r="R12" s="17">
        <f>'Table 22'!R12/'Table 22'!$X12*100</f>
        <v>0</v>
      </c>
      <c r="S12" s="17">
        <f>'Table 22'!S12/'Table 22'!$X12*100</f>
        <v>0</v>
      </c>
      <c r="T12" s="17">
        <f>'Table 22'!T12/'Table 22'!$X12*100</f>
        <v>0</v>
      </c>
      <c r="U12" s="17">
        <f>'Table 22'!U12/'Table 22'!$X12*100</f>
        <v>0.15337423312883436</v>
      </c>
      <c r="V12" s="17">
        <f>'Table 22'!V12/'Table 22'!$X12*100</f>
        <v>0.30674846625766872</v>
      </c>
      <c r="W12" s="17">
        <f>'Table 22'!W12/'Table 22'!$X12*100</f>
        <v>0</v>
      </c>
      <c r="X12" s="12">
        <f t="shared" si="0"/>
        <v>100</v>
      </c>
    </row>
    <row r="13" spans="1:25" s="13" customFormat="1">
      <c r="A13" s="15" t="s">
        <v>24</v>
      </c>
      <c r="B13" s="15" t="s">
        <v>25</v>
      </c>
      <c r="C13" s="15">
        <v>658422.9</v>
      </c>
      <c r="D13" s="15">
        <v>34474.6</v>
      </c>
      <c r="E13" s="12">
        <f>'Table 22'!E13/'Table 22'!$X13*100</f>
        <v>16.530612244897959</v>
      </c>
      <c r="F13" s="12">
        <f>'Table 22'!F13/'Table 22'!$X13*100</f>
        <v>1.4285714285714286</v>
      </c>
      <c r="G13" s="12">
        <f>'Table 22'!G13/'Table 22'!$X13*100</f>
        <v>0</v>
      </c>
      <c r="H13" s="12">
        <f>'Table 22'!H13/'Table 22'!$X13*100</f>
        <v>29.795918367346943</v>
      </c>
      <c r="I13" s="12">
        <f>'Table 22'!I13/'Table 22'!$X13*100</f>
        <v>0</v>
      </c>
      <c r="J13" s="17">
        <f>'Table 22'!J13/'Table 22'!$X13*100</f>
        <v>0</v>
      </c>
      <c r="K13" s="12">
        <f>'Table 22'!K13/'Table 22'!$X13*100</f>
        <v>11.020408163265307</v>
      </c>
      <c r="L13" s="12">
        <f>'Table 22'!L13/'Table 22'!$X13*100</f>
        <v>26.122448979591837</v>
      </c>
      <c r="M13" s="12">
        <f>'Table 22'!M13/'Table 22'!$X13*100</f>
        <v>0</v>
      </c>
      <c r="N13" s="12">
        <f>'Table 22'!N13/'Table 22'!$X13*100</f>
        <v>0.61224489795918369</v>
      </c>
      <c r="O13" s="12">
        <f>'Table 22'!O13/'Table 22'!$X13*100</f>
        <v>5.5102040816326534</v>
      </c>
      <c r="P13" s="12">
        <f>'Table 22'!P13/'Table 22'!$X13*100</f>
        <v>2.6530612244897958</v>
      </c>
      <c r="Q13" s="12">
        <f>'Table 22'!Q13/'Table 22'!$X13*100</f>
        <v>5.7142857142857144</v>
      </c>
      <c r="R13" s="17">
        <f>'Table 22'!R13/'Table 22'!$X13*100</f>
        <v>0</v>
      </c>
      <c r="S13" s="17">
        <f>'Table 22'!S13/'Table 22'!$X13*100</f>
        <v>0</v>
      </c>
      <c r="T13" s="17">
        <f>'Table 22'!T13/'Table 22'!$X13*100</f>
        <v>0</v>
      </c>
      <c r="U13" s="17">
        <f>'Table 22'!U13/'Table 22'!$X13*100</f>
        <v>0</v>
      </c>
      <c r="V13" s="17">
        <f>'Table 22'!V13/'Table 22'!$X13*100</f>
        <v>0</v>
      </c>
      <c r="W13" s="17">
        <f>'Table 22'!W13/'Table 22'!$X13*100</f>
        <v>0.61224489795918369</v>
      </c>
      <c r="X13" s="12">
        <f t="shared" si="0"/>
        <v>99.999999999999986</v>
      </c>
    </row>
    <row r="14" spans="1:25" s="13" customFormat="1">
      <c r="A14" s="15" t="s">
        <v>26</v>
      </c>
      <c r="B14" s="15" t="s">
        <v>27</v>
      </c>
      <c r="C14" s="15">
        <v>6584573.5</v>
      </c>
      <c r="D14" s="15">
        <v>344348.6</v>
      </c>
      <c r="E14" s="12">
        <f>'Table 22'!E14/'Table 22'!$X14*100</f>
        <v>6.5484311050477491</v>
      </c>
      <c r="F14" s="12">
        <f>'Table 22'!F14/'Table 22'!$X14*100</f>
        <v>1.3642564802182811</v>
      </c>
      <c r="G14" s="12">
        <f>'Table 22'!G14/'Table 22'!$X14*100</f>
        <v>0</v>
      </c>
      <c r="H14" s="12">
        <f>'Table 22'!H14/'Table 22'!$X14*100</f>
        <v>36.834924965893592</v>
      </c>
      <c r="I14" s="12">
        <f>'Table 22'!I14/'Table 22'!$X14*100</f>
        <v>0</v>
      </c>
      <c r="J14" s="17">
        <f>'Table 22'!J14/'Table 22'!$X14*100</f>
        <v>0</v>
      </c>
      <c r="K14" s="12">
        <f>'Table 22'!K14/'Table 22'!$X14*100</f>
        <v>0</v>
      </c>
      <c r="L14" s="12">
        <f>'Table 22'!L14/'Table 22'!$X14*100</f>
        <v>33.697135061391542</v>
      </c>
      <c r="M14" s="12">
        <f>'Table 22'!M14/'Table 22'!$X14*100</f>
        <v>0.54570259208731242</v>
      </c>
      <c r="N14" s="12">
        <f>'Table 22'!N14/'Table 22'!$X14*100</f>
        <v>14.870395634379264</v>
      </c>
      <c r="O14" s="12">
        <f>'Table 22'!O14/'Table 22'!$X14*100</f>
        <v>0.81855388813096863</v>
      </c>
      <c r="P14" s="12">
        <f>'Table 22'!P14/'Table 22'!$X14*100</f>
        <v>1.2278308321964531</v>
      </c>
      <c r="Q14" s="12">
        <f>'Table 22'!Q14/'Table 22'!$X14*100</f>
        <v>4.0927694406548438</v>
      </c>
      <c r="R14" s="17">
        <f>'Table 22'!R14/'Table 22'!$X14*100</f>
        <v>0</v>
      </c>
      <c r="S14" s="17">
        <f>'Table 22'!S14/'Table 22'!$X14*100</f>
        <v>0</v>
      </c>
      <c r="T14" s="17">
        <f>'Table 22'!T14/'Table 22'!$X14*100</f>
        <v>0</v>
      </c>
      <c r="U14" s="17">
        <f>'Table 22'!U14/'Table 22'!$X14*100</f>
        <v>0</v>
      </c>
      <c r="V14" s="17">
        <f>'Table 22'!V14/'Table 22'!$X14*100</f>
        <v>0</v>
      </c>
      <c r="W14" s="17">
        <f>'Table 22'!W14/'Table 22'!$X14*100</f>
        <v>0</v>
      </c>
      <c r="X14" s="12">
        <f t="shared" si="0"/>
        <v>100</v>
      </c>
    </row>
    <row r="15" spans="1:25" s="13" customFormat="1">
      <c r="A15" s="15" t="s">
        <v>28</v>
      </c>
      <c r="B15" s="15" t="s">
        <v>29</v>
      </c>
      <c r="C15" s="15">
        <v>6584288.4000000004</v>
      </c>
      <c r="D15" s="15">
        <v>344008.5</v>
      </c>
      <c r="E15" s="12">
        <f>'Table 22'!E15/'Table 22'!$X15*100</f>
        <v>12.615384615384615</v>
      </c>
      <c r="F15" s="12">
        <f>'Table 22'!F15/'Table 22'!$X15*100</f>
        <v>2.4615384615384617</v>
      </c>
      <c r="G15" s="12">
        <f>'Table 22'!G15/'Table 22'!$X15*100</f>
        <v>0.46153846153846156</v>
      </c>
      <c r="H15" s="12">
        <f>'Table 22'!H15/'Table 22'!$X15*100</f>
        <v>42.769230769230774</v>
      </c>
      <c r="I15" s="12">
        <f>'Table 22'!I15/'Table 22'!$X15*100</f>
        <v>0</v>
      </c>
      <c r="J15" s="17">
        <f>'Table 22'!J15/'Table 22'!$X15*100</f>
        <v>0</v>
      </c>
      <c r="K15" s="12">
        <f>'Table 22'!K15/'Table 22'!$X15*100</f>
        <v>2.7692307692307692</v>
      </c>
      <c r="L15" s="12">
        <f>'Table 22'!L15/'Table 22'!$X15*100</f>
        <v>23.23076923076923</v>
      </c>
      <c r="M15" s="12">
        <f>'Table 22'!M15/'Table 22'!$X15*100</f>
        <v>0</v>
      </c>
      <c r="N15" s="12">
        <f>'Table 22'!N15/'Table 22'!$X15*100</f>
        <v>2.9230769230769229</v>
      </c>
      <c r="O15" s="12">
        <f>'Table 22'!O15/'Table 22'!$X15*100</f>
        <v>1.8461538461538463</v>
      </c>
      <c r="P15" s="12">
        <f>'Table 22'!P15/'Table 22'!$X15*100</f>
        <v>1.2307692307692308</v>
      </c>
      <c r="Q15" s="12">
        <f>'Table 22'!Q15/'Table 22'!$X15*100</f>
        <v>9.6923076923076916</v>
      </c>
      <c r="R15" s="17">
        <f>'Table 22'!R15/'Table 22'!$X15*100</f>
        <v>0</v>
      </c>
      <c r="S15" s="17">
        <f>'Table 22'!S15/'Table 22'!$X15*100</f>
        <v>0</v>
      </c>
      <c r="T15" s="17">
        <f>'Table 22'!T15/'Table 22'!$X15*100</f>
        <v>0</v>
      </c>
      <c r="U15" s="17">
        <f>'Table 22'!U15/'Table 22'!$X15*100</f>
        <v>0</v>
      </c>
      <c r="V15" s="17">
        <f>'Table 22'!V15/'Table 22'!$X15*100</f>
        <v>0</v>
      </c>
      <c r="W15" s="17">
        <f>'Table 22'!W15/'Table 22'!$X15*100</f>
        <v>0</v>
      </c>
      <c r="X15" s="12">
        <f t="shared" si="0"/>
        <v>99.999999999999986</v>
      </c>
    </row>
    <row r="16" spans="1:25" s="13" customFormat="1">
      <c r="A16" s="15" t="s">
        <v>30</v>
      </c>
      <c r="B16" s="15" t="s">
        <v>31</v>
      </c>
      <c r="C16" s="15">
        <v>6585058.0199999996</v>
      </c>
      <c r="D16" s="15">
        <v>344011.89</v>
      </c>
      <c r="E16" s="12">
        <f>'Table 22'!E16/'Table 22'!$X16*100</f>
        <v>14.647137150466044</v>
      </c>
      <c r="F16" s="12">
        <f>'Table 22'!F16/'Table 22'!$X16*100</f>
        <v>1.5978695073235687</v>
      </c>
      <c r="G16" s="12">
        <f>'Table 22'!G16/'Table 22'!$X16*100</f>
        <v>0</v>
      </c>
      <c r="H16" s="12">
        <f>'Table 22'!H16/'Table 22'!$X16*100</f>
        <v>36.884154460719046</v>
      </c>
      <c r="I16" s="12">
        <f>'Table 22'!I16/'Table 22'!$X16*100</f>
        <v>0</v>
      </c>
      <c r="J16" s="17">
        <f>'Table 22'!J16/'Table 22'!$X16*100</f>
        <v>0</v>
      </c>
      <c r="K16" s="12">
        <f>'Table 22'!K16/'Table 22'!$X16*100</f>
        <v>1.7310252996005324</v>
      </c>
      <c r="L16" s="12">
        <f>'Table 22'!L16/'Table 22'!$X16*100</f>
        <v>29.294274300932088</v>
      </c>
      <c r="M16" s="12">
        <f>'Table 22'!M16/'Table 22'!$X16*100</f>
        <v>0.13315579227696406</v>
      </c>
      <c r="N16" s="12">
        <f>'Table 22'!N16/'Table 22'!$X16*100</f>
        <v>1.8641810918774968</v>
      </c>
      <c r="O16" s="12">
        <f>'Table 22'!O16/'Table 22'!$X16*100</f>
        <v>3.5952063914780292</v>
      </c>
      <c r="P16" s="12">
        <f>'Table 22'!P16/'Table 22'!$X16*100</f>
        <v>1.0652463382157125</v>
      </c>
      <c r="Q16" s="12">
        <f>'Table 22'!Q16/'Table 22'!$X16*100</f>
        <v>8.7882822902796267</v>
      </c>
      <c r="R16" s="17">
        <f>'Table 22'!R16/'Table 22'!$X16*100</f>
        <v>0.13315579227696406</v>
      </c>
      <c r="S16" s="17">
        <f>'Table 22'!S16/'Table 22'!$X16*100</f>
        <v>0</v>
      </c>
      <c r="T16" s="17">
        <f>'Table 22'!T16/'Table 22'!$X16*100</f>
        <v>0</v>
      </c>
      <c r="U16" s="17">
        <f>'Table 22'!U16/'Table 22'!$X16*100</f>
        <v>0</v>
      </c>
      <c r="V16" s="17">
        <f>'Table 22'!V16/'Table 22'!$X16*100</f>
        <v>0.26631158455392812</v>
      </c>
      <c r="W16" s="17">
        <f>'Table 22'!W16/'Table 22'!$X16*100</f>
        <v>0</v>
      </c>
      <c r="X16" s="12">
        <f t="shared" si="0"/>
        <v>100.00000000000001</v>
      </c>
    </row>
    <row r="17" spans="1:24" s="13" customFormat="1">
      <c r="A17" s="15" t="s">
        <v>32</v>
      </c>
      <c r="B17" s="15" t="s">
        <v>33</v>
      </c>
      <c r="C17" s="15">
        <v>6585058.0199999996</v>
      </c>
      <c r="D17" s="15">
        <v>344011.89</v>
      </c>
      <c r="E17" s="12">
        <f>'Table 22'!E17/'Table 22'!$X17*100</f>
        <v>15.987460815047022</v>
      </c>
      <c r="F17" s="12">
        <f>'Table 22'!F17/'Table 22'!$X17*100</f>
        <v>4.7021943573667713</v>
      </c>
      <c r="G17" s="12">
        <f>'Table 22'!G17/'Table 22'!$X17*100</f>
        <v>0.31347962382445138</v>
      </c>
      <c r="H17" s="12">
        <f>'Table 22'!H17/'Table 22'!$X17*100</f>
        <v>26.489028213166144</v>
      </c>
      <c r="I17" s="12">
        <f>'Table 22'!I17/'Table 22'!$X17*100</f>
        <v>0</v>
      </c>
      <c r="J17" s="17">
        <f>'Table 22'!J17/'Table 22'!$X17*100</f>
        <v>0</v>
      </c>
      <c r="K17" s="12">
        <f>'Table 22'!K17/'Table 22'!$X17*100</f>
        <v>2.9780564263322882</v>
      </c>
      <c r="L17" s="12">
        <f>'Table 22'!L17/'Table 22'!$X17*100</f>
        <v>35.736677115987462</v>
      </c>
      <c r="M17" s="12">
        <f>'Table 22'!M17/'Table 22'!$X17*100</f>
        <v>0</v>
      </c>
      <c r="N17" s="12">
        <f>'Table 22'!N17/'Table 22'!$X17*100</f>
        <v>0.7836990595611284</v>
      </c>
      <c r="O17" s="12">
        <f>'Table 22'!O17/'Table 22'!$X17*100</f>
        <v>3.2915360501567394</v>
      </c>
      <c r="P17" s="12">
        <f>'Table 22'!P17/'Table 22'!$X17*100</f>
        <v>0.94043887147335425</v>
      </c>
      <c r="Q17" s="12">
        <f>'Table 22'!Q17/'Table 22'!$X17*100</f>
        <v>8.4639498432601883</v>
      </c>
      <c r="R17" s="17">
        <f>'Table 22'!R17/'Table 22'!$X17*100</f>
        <v>0</v>
      </c>
      <c r="S17" s="17">
        <f>'Table 22'!S17/'Table 22'!$X17*100</f>
        <v>0</v>
      </c>
      <c r="T17" s="17">
        <f>'Table 22'!T17/'Table 22'!$X17*100</f>
        <v>0</v>
      </c>
      <c r="U17" s="17">
        <f>'Table 22'!U17/'Table 22'!$X17*100</f>
        <v>0</v>
      </c>
      <c r="V17" s="17">
        <f>'Table 22'!V17/'Table 22'!$X17*100</f>
        <v>0.15673981191222569</v>
      </c>
      <c r="W17" s="17">
        <f>'Table 22'!W17/'Table 22'!$X17*100</f>
        <v>0.15673981191222569</v>
      </c>
      <c r="X17" s="12">
        <f t="shared" si="0"/>
        <v>100.00000000000003</v>
      </c>
    </row>
    <row r="18" spans="1:24">
      <c r="A18" s="15" t="s">
        <v>34</v>
      </c>
      <c r="B18" s="15" t="s">
        <v>35</v>
      </c>
      <c r="C18" s="15">
        <v>6584577.7000000002</v>
      </c>
      <c r="D18" s="15">
        <v>343202.7</v>
      </c>
      <c r="E18" s="12">
        <f>'Table 22'!E18/'Table 22'!$X18*100</f>
        <v>13.312202852614895</v>
      </c>
      <c r="F18" s="12">
        <f>'Table 22'!F18/'Table 22'!$X18*100</f>
        <v>1.7432646592709984</v>
      </c>
      <c r="G18" s="12">
        <f>'Table 22'!G18/'Table 22'!$X18*100</f>
        <v>0</v>
      </c>
      <c r="H18" s="12">
        <f>'Table 22'!H18/'Table 22'!$X18*100</f>
        <v>25.673534072900157</v>
      </c>
      <c r="I18" s="12">
        <f>'Table 22'!I18/'Table 22'!$X18*100</f>
        <v>0</v>
      </c>
      <c r="J18" s="17">
        <f>'Table 22'!J18/'Table 22'!$X18*100</f>
        <v>0</v>
      </c>
      <c r="K18" s="12">
        <f>'Table 22'!K18/'Table 22'!$X18*100</f>
        <v>17.274167987321711</v>
      </c>
      <c r="L18" s="12">
        <f>'Table 22'!L18/'Table 22'!$X18*100</f>
        <v>24.088748019017434</v>
      </c>
      <c r="M18" s="12">
        <f>'Table 22'!M18/'Table 22'!$X18*100</f>
        <v>0.15847860538827258</v>
      </c>
      <c r="N18" s="12">
        <f>'Table 22'!N18/'Table 22'!$X18*100</f>
        <v>0</v>
      </c>
      <c r="O18" s="12">
        <f>'Table 22'!O18/'Table 22'!$X18*100</f>
        <v>4.1204437400950873</v>
      </c>
      <c r="P18" s="12">
        <f>'Table 22'!P18/'Table 22'!$X18*100</f>
        <v>1.4263074484944533</v>
      </c>
      <c r="Q18" s="12">
        <f>'Table 22'!Q18/'Table 22'!$X18*100</f>
        <v>12.044374009508717</v>
      </c>
      <c r="R18" s="17">
        <f>'Table 22'!R18/'Table 22'!$X18*100</f>
        <v>0</v>
      </c>
      <c r="S18" s="17">
        <f>'Table 22'!S18/'Table 22'!$X18*100</f>
        <v>0</v>
      </c>
      <c r="T18" s="17">
        <f>'Table 22'!T18/'Table 22'!$X18*100</f>
        <v>0</v>
      </c>
      <c r="U18" s="17">
        <f>'Table 22'!U18/'Table 22'!$X18*100</f>
        <v>0</v>
      </c>
      <c r="V18" s="17">
        <f>'Table 22'!V18/'Table 22'!$X18*100</f>
        <v>0.15847860538827258</v>
      </c>
      <c r="W18" s="17">
        <f>'Table 22'!W18/'Table 22'!$X18*100</f>
        <v>0</v>
      </c>
      <c r="X18" s="12">
        <f t="shared" si="0"/>
        <v>99.999999999999986</v>
      </c>
    </row>
    <row r="19" spans="1:24">
      <c r="A19" s="15" t="s">
        <v>36</v>
      </c>
      <c r="B19" s="15" t="s">
        <v>37</v>
      </c>
      <c r="C19" s="15">
        <v>6584210.9000000004</v>
      </c>
      <c r="D19" s="15">
        <v>342756.7</v>
      </c>
      <c r="E19" s="12">
        <f>'Table 22'!E19/'Table 22'!$X19*100</f>
        <v>5.6878306878306875</v>
      </c>
      <c r="F19" s="12">
        <f>'Table 22'!F19/'Table 22'!$X19*100</f>
        <v>1.0582010582010581</v>
      </c>
      <c r="G19" s="12">
        <f>'Table 22'!G19/'Table 22'!$X19*100</f>
        <v>0</v>
      </c>
      <c r="H19" s="12">
        <f>'Table 22'!H19/'Table 22'!$X19*100</f>
        <v>16.93121693121693</v>
      </c>
      <c r="I19" s="12">
        <f>'Table 22'!I19/'Table 22'!$X19*100</f>
        <v>0</v>
      </c>
      <c r="J19" s="17">
        <f>'Table 22'!J19/'Table 22'!$X19*100</f>
        <v>0</v>
      </c>
      <c r="K19" s="12">
        <f>'Table 22'!K19/'Table 22'!$X19*100</f>
        <v>34.391534391534393</v>
      </c>
      <c r="L19" s="12">
        <f>'Table 22'!L19/'Table 22'!$X19*100</f>
        <v>16.798941798941801</v>
      </c>
      <c r="M19" s="12">
        <f>'Table 22'!M19/'Table 22'!$X19*100</f>
        <v>0.3968253968253968</v>
      </c>
      <c r="N19" s="12">
        <f>'Table 22'!N19/'Table 22'!$X19*100</f>
        <v>15.74074074074074</v>
      </c>
      <c r="O19" s="12">
        <f>'Table 22'!O19/'Table 22'!$X19*100</f>
        <v>2.1164021164021163</v>
      </c>
      <c r="P19" s="12">
        <f>'Table 22'!P19/'Table 22'!$X19*100</f>
        <v>1.1904761904761905</v>
      </c>
      <c r="Q19" s="12">
        <f>'Table 22'!Q19/'Table 22'!$X19*100</f>
        <v>5.6878306878306875</v>
      </c>
      <c r="R19" s="17">
        <f>'Table 22'!R19/'Table 22'!$X19*100</f>
        <v>0</v>
      </c>
      <c r="S19" s="17">
        <f>'Table 22'!S19/'Table 22'!$X19*100</f>
        <v>0</v>
      </c>
      <c r="T19" s="17">
        <f>'Table 22'!T19/'Table 22'!$X19*100</f>
        <v>0</v>
      </c>
      <c r="U19" s="17">
        <f>'Table 22'!U19/'Table 22'!$X19*100</f>
        <v>0</v>
      </c>
      <c r="V19" s="17">
        <f>'Table 22'!V19/'Table 22'!$X19*100</f>
        <v>0</v>
      </c>
      <c r="W19" s="17">
        <f>'Table 22'!W19/'Table 22'!$X19*100</f>
        <v>0</v>
      </c>
      <c r="X19" s="12">
        <f t="shared" si="0"/>
        <v>100</v>
      </c>
    </row>
    <row r="20" spans="1:24">
      <c r="A20" s="15" t="s">
        <v>38</v>
      </c>
      <c r="B20" s="15" t="s">
        <v>39</v>
      </c>
      <c r="C20" s="15">
        <v>6585006.5999999996</v>
      </c>
      <c r="D20" s="15">
        <v>342433.4</v>
      </c>
      <c r="E20" s="12">
        <f>'Table 22'!E20/'Table 22'!$X20*100</f>
        <v>8.7155963302752291</v>
      </c>
      <c r="F20" s="12">
        <f>'Table 22'!F20/'Table 22'!$X20*100</f>
        <v>1.0703363914373087</v>
      </c>
      <c r="G20" s="12">
        <f>'Table 22'!G20/'Table 22'!$X20*100</f>
        <v>0</v>
      </c>
      <c r="H20" s="12">
        <f>'Table 22'!H20/'Table 22'!$X20*100</f>
        <v>30.886850152905197</v>
      </c>
      <c r="I20" s="12">
        <f>'Table 22'!I20/'Table 22'!$X20*100</f>
        <v>0</v>
      </c>
      <c r="J20" s="17">
        <f>'Table 22'!J20/'Table 22'!$X20*100</f>
        <v>0</v>
      </c>
      <c r="K20" s="12">
        <f>'Table 22'!K20/'Table 22'!$X20*100</f>
        <v>0.76452599388379205</v>
      </c>
      <c r="L20" s="12">
        <f>'Table 22'!L20/'Table 22'!$X20*100</f>
        <v>35.321100917431195</v>
      </c>
      <c r="M20" s="12">
        <f>'Table 22'!M20/'Table 22'!$X20*100</f>
        <v>0</v>
      </c>
      <c r="N20" s="12">
        <f>'Table 22'!N20/'Table 22'!$X20*100</f>
        <v>12.996941896024463</v>
      </c>
      <c r="O20" s="12">
        <f>'Table 22'!O20/'Table 22'!$X20*100</f>
        <v>1.2232415902140672</v>
      </c>
      <c r="P20" s="12">
        <f>'Table 22'!P20/'Table 22'!$X20*100</f>
        <v>0.3058103975535168</v>
      </c>
      <c r="Q20" s="12">
        <f>'Table 22'!Q20/'Table 22'!$X20*100</f>
        <v>8.7155963302752291</v>
      </c>
      <c r="R20" s="17">
        <f>'Table 22'!R20/'Table 22'!$X20*100</f>
        <v>0</v>
      </c>
      <c r="S20" s="17">
        <f>'Table 22'!S20/'Table 22'!$X20*100</f>
        <v>0</v>
      </c>
      <c r="T20" s="17">
        <f>'Table 22'!T20/'Table 22'!$X20*100</f>
        <v>0</v>
      </c>
      <c r="U20" s="17">
        <f>'Table 22'!U20/'Table 22'!$X20*100</f>
        <v>0</v>
      </c>
      <c r="V20" s="17">
        <f>'Table 22'!V20/'Table 22'!$X20*100</f>
        <v>0</v>
      </c>
      <c r="W20" s="17">
        <f>'Table 22'!W20/'Table 22'!$X20*100</f>
        <v>0</v>
      </c>
      <c r="X20" s="12">
        <f t="shared" si="0"/>
        <v>100.00000000000001</v>
      </c>
    </row>
    <row r="21" spans="1:24">
      <c r="A21" s="15" t="s">
        <v>40</v>
      </c>
      <c r="B21" s="15" t="s">
        <v>41</v>
      </c>
      <c r="C21" s="15">
        <v>6585646.9000000004</v>
      </c>
      <c r="D21" s="15">
        <v>343175.7</v>
      </c>
      <c r="E21" s="12">
        <f>'Table 22'!E21/'Table 22'!$X21*100</f>
        <v>7.5425790754257909</v>
      </c>
      <c r="F21" s="12">
        <f>'Table 22'!F21/'Table 22'!$X21*100</f>
        <v>1.0948905109489051</v>
      </c>
      <c r="G21" s="12">
        <f>'Table 22'!G21/'Table 22'!$X21*100</f>
        <v>0.12165450121654502</v>
      </c>
      <c r="H21" s="12">
        <f>'Table 22'!H21/'Table 22'!$X21*100</f>
        <v>34.306569343065696</v>
      </c>
      <c r="I21" s="12">
        <f>'Table 22'!I21/'Table 22'!$X21*100</f>
        <v>0</v>
      </c>
      <c r="J21" s="17">
        <f>'Table 22'!J21/'Table 22'!$X21*100</f>
        <v>0</v>
      </c>
      <c r="K21" s="12">
        <f>'Table 22'!K21/'Table 22'!$X21*100</f>
        <v>3.2846715328467155</v>
      </c>
      <c r="L21" s="12">
        <f>'Table 22'!L21/'Table 22'!$X21*100</f>
        <v>23.965936739659369</v>
      </c>
      <c r="M21" s="12">
        <f>'Table 22'!M21/'Table 22'!$X21*100</f>
        <v>0.6082725060827251</v>
      </c>
      <c r="N21" s="12">
        <f>'Table 22'!N21/'Table 22'!$X21*100</f>
        <v>19.951338199513383</v>
      </c>
      <c r="O21" s="12">
        <f>'Table 22'!O21/'Table 22'!$X21*100</f>
        <v>2.5547445255474455</v>
      </c>
      <c r="P21" s="12">
        <f>'Table 22'!P21/'Table 22'!$X21*100</f>
        <v>0.48661800486618007</v>
      </c>
      <c r="Q21" s="12">
        <f>'Table 22'!Q21/'Table 22'!$X21*100</f>
        <v>5.9610705596107056</v>
      </c>
      <c r="R21" s="17">
        <f>'Table 22'!R21/'Table 22'!$X21*100</f>
        <v>0</v>
      </c>
      <c r="S21" s="17">
        <f>'Table 22'!S21/'Table 22'!$X21*100</f>
        <v>0</v>
      </c>
      <c r="T21" s="17">
        <f>'Table 22'!T21/'Table 22'!$X21*100</f>
        <v>0</v>
      </c>
      <c r="U21" s="17">
        <f>'Table 22'!U21/'Table 22'!$X21*100</f>
        <v>0</v>
      </c>
      <c r="V21" s="17">
        <f>'Table 22'!V21/'Table 22'!$X21*100</f>
        <v>0</v>
      </c>
      <c r="W21" s="17">
        <f>'Table 22'!W21/'Table 22'!$X21*100</f>
        <v>0.12165450121654502</v>
      </c>
      <c r="X21" s="12">
        <f t="shared" si="0"/>
        <v>100</v>
      </c>
    </row>
    <row r="22" spans="1:24">
      <c r="A22" s="15" t="s">
        <v>42</v>
      </c>
      <c r="B22" s="15" t="s">
        <v>43</v>
      </c>
      <c r="C22" s="15">
        <v>6587679</v>
      </c>
      <c r="D22" s="15">
        <v>345346</v>
      </c>
      <c r="E22" s="12">
        <f>'Table 22'!E22/'Table 22'!$X22*100</f>
        <v>11.868131868131867</v>
      </c>
      <c r="F22" s="12">
        <f>'Table 22'!F22/'Table 22'!$X22*100</f>
        <v>1.5384615384615385</v>
      </c>
      <c r="G22" s="12">
        <f>'Table 22'!G22/'Table 22'!$X22*100</f>
        <v>0</v>
      </c>
      <c r="H22" s="12">
        <f>'Table 22'!H22/'Table 22'!$X22*100</f>
        <v>32.747252747252745</v>
      </c>
      <c r="I22" s="12">
        <f>'Table 22'!I22/'Table 22'!$X22*100</f>
        <v>0</v>
      </c>
      <c r="J22" s="17">
        <f>'Table 22'!J22/'Table 22'!$X22*100</f>
        <v>0</v>
      </c>
      <c r="K22" s="12">
        <f>'Table 22'!K22/'Table 22'!$X22*100</f>
        <v>0.21978021978021978</v>
      </c>
      <c r="L22" s="12">
        <f>'Table 22'!L22/'Table 22'!$X22*100</f>
        <v>25.054945054945055</v>
      </c>
      <c r="M22" s="12">
        <f>'Table 22'!M22/'Table 22'!$X22*100</f>
        <v>0</v>
      </c>
      <c r="N22" s="12">
        <f>'Table 22'!N22/'Table 22'!$X22*100</f>
        <v>18.791208791208792</v>
      </c>
      <c r="O22" s="12">
        <f>'Table 22'!O22/'Table 22'!$X22*100</f>
        <v>1.8681318681318682</v>
      </c>
      <c r="P22" s="12">
        <f>'Table 22'!P22/'Table 22'!$X22*100</f>
        <v>0.76923076923076927</v>
      </c>
      <c r="Q22" s="12">
        <f>'Table 22'!Q22/'Table 22'!$X22*100</f>
        <v>7.0329670329670328</v>
      </c>
      <c r="R22" s="17">
        <f>'Table 22'!R22/'Table 22'!$X22*100</f>
        <v>0</v>
      </c>
      <c r="S22" s="17">
        <f>'Table 22'!S22/'Table 22'!$X22*100</f>
        <v>0</v>
      </c>
      <c r="T22" s="17">
        <f>'Table 22'!T22/'Table 22'!$X22*100</f>
        <v>0</v>
      </c>
      <c r="U22" s="17">
        <f>'Table 22'!U22/'Table 22'!$X22*100</f>
        <v>0</v>
      </c>
      <c r="V22" s="17">
        <f>'Table 22'!V22/'Table 22'!$X22*100</f>
        <v>0</v>
      </c>
      <c r="W22" s="17">
        <f>'Table 22'!W22/'Table 22'!$X22*100</f>
        <v>0.10989010989010989</v>
      </c>
      <c r="X22" s="12">
        <f t="shared" si="0"/>
        <v>100</v>
      </c>
    </row>
    <row r="23" spans="1:24">
      <c r="A23" s="15" t="s">
        <v>44</v>
      </c>
      <c r="B23" s="15" t="s">
        <v>45</v>
      </c>
      <c r="C23" s="15">
        <v>6586902</v>
      </c>
      <c r="D23" s="15">
        <v>344191</v>
      </c>
      <c r="E23" s="12">
        <f>'Table 22'!E23/'Table 22'!$X23*100</f>
        <v>12.299465240641712</v>
      </c>
      <c r="F23" s="12">
        <f>'Table 22'!F23/'Table 22'!$X23*100</f>
        <v>0.26737967914438499</v>
      </c>
      <c r="G23" s="12">
        <f>'Table 22'!G23/'Table 22'!$X23*100</f>
        <v>0</v>
      </c>
      <c r="H23" s="12">
        <f>'Table 22'!H23/'Table 22'!$X23*100</f>
        <v>35.962566844919785</v>
      </c>
      <c r="I23" s="12">
        <f>'Table 22'!I23/'Table 22'!$X23*100</f>
        <v>0</v>
      </c>
      <c r="J23" s="17">
        <f>'Table 22'!J23/'Table 22'!$X23*100</f>
        <v>0</v>
      </c>
      <c r="K23" s="12">
        <f>'Table 22'!K23/'Table 22'!$X23*100</f>
        <v>0.93582887700534756</v>
      </c>
      <c r="L23" s="12">
        <f>'Table 22'!L23/'Table 22'!$X23*100</f>
        <v>36.63101604278075</v>
      </c>
      <c r="M23" s="12">
        <f>'Table 22'!M23/'Table 22'!$X23*100</f>
        <v>0</v>
      </c>
      <c r="N23" s="12">
        <f>'Table 22'!N23/'Table 22'!$X23*100</f>
        <v>5.8823529411764701</v>
      </c>
      <c r="O23" s="12">
        <f>'Table 22'!O23/'Table 22'!$X23*100</f>
        <v>2.4064171122994651</v>
      </c>
      <c r="P23" s="12">
        <f>'Table 22'!P23/'Table 22'!$X23*100</f>
        <v>0.13368983957219249</v>
      </c>
      <c r="Q23" s="12">
        <f>'Table 22'!Q23/'Table 22'!$X23*100</f>
        <v>5.4812834224598923</v>
      </c>
      <c r="R23" s="17">
        <f>'Table 22'!R23/'Table 22'!$X23*100</f>
        <v>0</v>
      </c>
      <c r="S23" s="17">
        <f>'Table 22'!S23/'Table 22'!$X23*100</f>
        <v>0</v>
      </c>
      <c r="T23" s="17">
        <f>'Table 22'!T23/'Table 22'!$X23*100</f>
        <v>0</v>
      </c>
      <c r="U23" s="17">
        <f>'Table 22'!U23/'Table 22'!$X23*100</f>
        <v>0</v>
      </c>
      <c r="V23" s="17">
        <f>'Table 22'!V23/'Table 22'!$X23*100</f>
        <v>0</v>
      </c>
      <c r="W23" s="17">
        <f>'Table 22'!W23/'Table 22'!$X23*100</f>
        <v>0</v>
      </c>
      <c r="X23" s="12">
        <f t="shared" si="0"/>
        <v>100</v>
      </c>
    </row>
    <row r="24" spans="1:24">
      <c r="A24" s="15" t="s">
        <v>46</v>
      </c>
      <c r="B24" s="15" t="s">
        <v>47</v>
      </c>
      <c r="C24" s="15">
        <v>6579434.2999999998</v>
      </c>
      <c r="D24" s="15">
        <v>341857.4</v>
      </c>
      <c r="E24" s="12">
        <f>'Table 22'!E24/'Table 22'!$X24*100</f>
        <v>20</v>
      </c>
      <c r="F24" s="12">
        <f>'Table 22'!F24/'Table 22'!$X24*100</f>
        <v>2.622950819672131</v>
      </c>
      <c r="G24" s="12">
        <f>'Table 22'!G24/'Table 22'!$X24*100</f>
        <v>0.49180327868852464</v>
      </c>
      <c r="H24" s="12">
        <f>'Table 22'!H24/'Table 22'!$X24*100</f>
        <v>40.16393442622951</v>
      </c>
      <c r="I24" s="12">
        <f>'Table 22'!I24/'Table 22'!$X24*100</f>
        <v>0.49180327868852464</v>
      </c>
      <c r="J24" s="17">
        <f>'Table 22'!J24/'Table 22'!$X24*100</f>
        <v>0.16393442622950818</v>
      </c>
      <c r="K24" s="12">
        <f>'Table 22'!K24/'Table 22'!$X24*100</f>
        <v>2.622950819672131</v>
      </c>
      <c r="L24" s="12">
        <f>'Table 22'!L24/'Table 22'!$X24*100</f>
        <v>20.327868852459016</v>
      </c>
      <c r="M24" s="12">
        <f>'Table 22'!M24/'Table 22'!$X24*100</f>
        <v>0</v>
      </c>
      <c r="N24" s="12">
        <f>'Table 22'!N24/'Table 22'!$X24*100</f>
        <v>0</v>
      </c>
      <c r="O24" s="12">
        <f>'Table 22'!O24/'Table 22'!$X24*100</f>
        <v>3.7704918032786887</v>
      </c>
      <c r="P24" s="12">
        <f>'Table 22'!P24/'Table 22'!$X24*100</f>
        <v>0.32786885245901637</v>
      </c>
      <c r="Q24" s="12">
        <f>'Table 22'!Q24/'Table 22'!$X24*100</f>
        <v>8.8524590163934427</v>
      </c>
      <c r="R24" s="17">
        <f>'Table 22'!R24/'Table 22'!$X24*100</f>
        <v>0</v>
      </c>
      <c r="S24" s="17">
        <f>'Table 22'!S24/'Table 22'!$X24*100</f>
        <v>0</v>
      </c>
      <c r="T24" s="17">
        <f>'Table 22'!T24/'Table 22'!$X24*100</f>
        <v>0</v>
      </c>
      <c r="U24" s="17">
        <f>'Table 22'!U24/'Table 22'!$X24*100</f>
        <v>0</v>
      </c>
      <c r="V24" s="17">
        <f>'Table 22'!V24/'Table 22'!$X24*100</f>
        <v>0.16393442622950818</v>
      </c>
      <c r="W24" s="17">
        <f>'Table 22'!W24/'Table 22'!$X24*100</f>
        <v>0</v>
      </c>
      <c r="X24" s="12">
        <f t="shared" si="0"/>
        <v>100</v>
      </c>
    </row>
    <row r="25" spans="1:24">
      <c r="A25" s="15" t="s">
        <v>48</v>
      </c>
      <c r="B25" s="15" t="s">
        <v>49</v>
      </c>
      <c r="C25" s="15">
        <v>6579618.9000000004</v>
      </c>
      <c r="D25" s="15">
        <v>342074.8</v>
      </c>
      <c r="E25" s="12">
        <f>'Table 22'!E25/'Table 22'!$X25*100</f>
        <v>13.631022326674499</v>
      </c>
      <c r="F25" s="12">
        <f>'Table 22'!F25/'Table 22'!$X25*100</f>
        <v>1.0575793184488838</v>
      </c>
      <c r="G25" s="12">
        <f>'Table 22'!G25/'Table 22'!$X25*100</f>
        <v>0.11750881316098707</v>
      </c>
      <c r="H25" s="12">
        <f>'Table 22'!H25/'Table 22'!$X25*100</f>
        <v>26.90951821386604</v>
      </c>
      <c r="I25" s="12">
        <f>'Table 22'!I25/'Table 22'!$X25*100</f>
        <v>8.695652173913043</v>
      </c>
      <c r="J25" s="17">
        <f>'Table 22'!J25/'Table 22'!$X25*100</f>
        <v>0</v>
      </c>
      <c r="K25" s="12">
        <f>'Table 22'!K25/'Table 22'!$X25*100</f>
        <v>23.971797884841365</v>
      </c>
      <c r="L25" s="12">
        <f>'Table 22'!L25/'Table 22'!$X25*100</f>
        <v>17.391304347826086</v>
      </c>
      <c r="M25" s="12">
        <f>'Table 22'!M25/'Table 22'!$X25*100</f>
        <v>0</v>
      </c>
      <c r="N25" s="12">
        <f>'Table 22'!N25/'Table 22'!$X25*100</f>
        <v>0</v>
      </c>
      <c r="O25" s="12">
        <f>'Table 22'!O25/'Table 22'!$X25*100</f>
        <v>1.410105757931845</v>
      </c>
      <c r="P25" s="12">
        <f>'Table 22'!P25/'Table 22'!$X25*100</f>
        <v>0.7050528789659225</v>
      </c>
      <c r="Q25" s="12">
        <f>'Table 22'!Q25/'Table 22'!$X25*100</f>
        <v>5.7579318448883665</v>
      </c>
      <c r="R25" s="17">
        <f>'Table 22'!R25/'Table 22'!$X25*100</f>
        <v>0.11750881316098707</v>
      </c>
      <c r="S25" s="17">
        <f>'Table 22'!S25/'Table 22'!$X25*100</f>
        <v>0</v>
      </c>
      <c r="T25" s="17">
        <f>'Table 22'!T25/'Table 22'!$X25*100</f>
        <v>0</v>
      </c>
      <c r="U25" s="17">
        <f>'Table 22'!U25/'Table 22'!$X25*100</f>
        <v>0</v>
      </c>
      <c r="V25" s="17">
        <f>'Table 22'!V25/'Table 22'!$X25*100</f>
        <v>0.11750881316098707</v>
      </c>
      <c r="W25" s="17">
        <f>'Table 22'!W25/'Table 22'!$X25*100</f>
        <v>0.11750881316098707</v>
      </c>
      <c r="X25" s="12">
        <f t="shared" si="0"/>
        <v>99.999999999999972</v>
      </c>
    </row>
    <row r="26" spans="1:24">
      <c r="A26" s="15" t="s">
        <v>50</v>
      </c>
      <c r="B26" s="15" t="s">
        <v>51</v>
      </c>
      <c r="C26" s="15">
        <v>6580290.5</v>
      </c>
      <c r="D26" s="15">
        <v>343856</v>
      </c>
      <c r="E26" s="12">
        <f>'Table 22'!E26/'Table 22'!$X26*100</f>
        <v>28.571428571428569</v>
      </c>
      <c r="F26" s="12">
        <f>'Table 22'!F26/'Table 22'!$X26*100</f>
        <v>2.1897810218978102</v>
      </c>
      <c r="G26" s="12">
        <f>'Table 22'!G26/'Table 22'!$X26*100</f>
        <v>0.10427528675703858</v>
      </c>
      <c r="H26" s="12">
        <f>'Table 22'!H26/'Table 22'!$X26*100</f>
        <v>39.624608967674661</v>
      </c>
      <c r="I26" s="12">
        <f>'Table 22'!I26/'Table 22'!$X26*100</f>
        <v>1.0427528675703857</v>
      </c>
      <c r="J26" s="17">
        <f>'Table 22'!J26/'Table 22'!$X26*100</f>
        <v>0</v>
      </c>
      <c r="K26" s="12">
        <f>'Table 22'!K26/'Table 22'!$X26*100</f>
        <v>1.251303441084463</v>
      </c>
      <c r="L26" s="12">
        <f>'Table 22'!L26/'Table 22'!$X26*100</f>
        <v>16.788321167883211</v>
      </c>
      <c r="M26" s="12">
        <f>'Table 22'!M26/'Table 22'!$X26*100</f>
        <v>0</v>
      </c>
      <c r="N26" s="12">
        <f>'Table 22'!N26/'Table 22'!$X26*100</f>
        <v>0</v>
      </c>
      <c r="O26" s="12">
        <f>'Table 22'!O26/'Table 22'!$X26*100</f>
        <v>2.8154327424400418</v>
      </c>
      <c r="P26" s="12">
        <f>'Table 22'!P26/'Table 22'!$X26*100</f>
        <v>0.52137643378519283</v>
      </c>
      <c r="Q26" s="12">
        <f>'Table 22'!Q26/'Table 22'!$X26*100</f>
        <v>6.9864442127215849</v>
      </c>
      <c r="R26" s="17">
        <f>'Table 22'!R26/'Table 22'!$X26*100</f>
        <v>0</v>
      </c>
      <c r="S26" s="17">
        <f>'Table 22'!S26/'Table 22'!$X26*100</f>
        <v>0</v>
      </c>
      <c r="T26" s="17">
        <f>'Table 22'!T26/'Table 22'!$X26*100</f>
        <v>0</v>
      </c>
      <c r="U26" s="17">
        <f>'Table 22'!U26/'Table 22'!$X26*100</f>
        <v>0</v>
      </c>
      <c r="V26" s="17">
        <f>'Table 22'!V26/'Table 22'!$X26*100</f>
        <v>0</v>
      </c>
      <c r="W26" s="17">
        <f>'Table 22'!W26/'Table 22'!$X26*100</f>
        <v>0.10427528675703858</v>
      </c>
      <c r="X26" s="12">
        <f t="shared" si="0"/>
        <v>99.999999999999986</v>
      </c>
    </row>
    <row r="27" spans="1:24">
      <c r="A27" s="15" t="s">
        <v>52</v>
      </c>
      <c r="B27" s="15" t="s">
        <v>53</v>
      </c>
      <c r="C27" s="15">
        <v>6585399</v>
      </c>
      <c r="D27" s="15">
        <v>346667</v>
      </c>
      <c r="E27" s="12">
        <f>'Table 22'!E27/'Table 22'!$X27*100</f>
        <v>26.751592356687897</v>
      </c>
      <c r="F27" s="12">
        <f>'Table 22'!F27/'Table 22'!$X27*100</f>
        <v>4.0764331210191083</v>
      </c>
      <c r="G27" s="12">
        <f>'Table 22'!G27/'Table 22'!$X27*100</f>
        <v>0.12738853503184713</v>
      </c>
      <c r="H27" s="12">
        <f>'Table 22'!H27/'Table 22'!$X27*100</f>
        <v>28.917197452229299</v>
      </c>
      <c r="I27" s="12">
        <f>'Table 22'!I27/'Table 22'!$X27*100</f>
        <v>0</v>
      </c>
      <c r="J27" s="17">
        <f>'Table 22'!J27/'Table 22'!$X27*100</f>
        <v>0</v>
      </c>
      <c r="K27" s="12">
        <f>'Table 22'!K27/'Table 22'!$X27*100</f>
        <v>0.63694267515923575</v>
      </c>
      <c r="L27" s="12">
        <f>'Table 22'!L27/'Table 22'!$X27*100</f>
        <v>22.29299363057325</v>
      </c>
      <c r="M27" s="12">
        <f>'Table 22'!M27/'Table 22'!$X27*100</f>
        <v>0</v>
      </c>
      <c r="N27" s="12">
        <f>'Table 22'!N27/'Table 22'!$X27*100</f>
        <v>3.4394904458598727</v>
      </c>
      <c r="O27" s="12">
        <f>'Table 22'!O27/'Table 22'!$X27*100</f>
        <v>2.1656050955414012</v>
      </c>
      <c r="P27" s="12">
        <f>'Table 22'!P27/'Table 22'!$X27*100</f>
        <v>1.6560509554140128</v>
      </c>
      <c r="Q27" s="12">
        <f>'Table 22'!Q27/'Table 22'!$X27*100</f>
        <v>9.5541401273885356</v>
      </c>
      <c r="R27" s="17">
        <f>'Table 22'!R27/'Table 22'!$X27*100</f>
        <v>0.25477707006369427</v>
      </c>
      <c r="S27" s="17">
        <f>'Table 22'!S27/'Table 22'!$X27*100</f>
        <v>0</v>
      </c>
      <c r="T27" s="17">
        <f>'Table 22'!T27/'Table 22'!$X27*100</f>
        <v>0</v>
      </c>
      <c r="U27" s="17">
        <f>'Table 22'!U27/'Table 22'!$X27*100</f>
        <v>0</v>
      </c>
      <c r="V27" s="17">
        <f>'Table 22'!V27/'Table 22'!$X27*100</f>
        <v>0.12738853503184713</v>
      </c>
      <c r="W27" s="17">
        <f>'Table 22'!W27/'Table 22'!$X27*100</f>
        <v>0</v>
      </c>
      <c r="X27" s="12">
        <f t="shared" si="0"/>
        <v>100</v>
      </c>
    </row>
    <row r="28" spans="1:24">
      <c r="A28" s="15" t="s">
        <v>54</v>
      </c>
      <c r="B28" s="15" t="s">
        <v>55</v>
      </c>
      <c r="C28" s="15">
        <v>6585134</v>
      </c>
      <c r="D28" s="15">
        <v>345433</v>
      </c>
      <c r="E28" s="12">
        <f>'Table 22'!E28/'Table 22'!$X28*100</f>
        <v>44.178454842219807</v>
      </c>
      <c r="F28" s="12">
        <f>'Table 22'!F28/'Table 22'!$X28*100</f>
        <v>1.8498367791077257</v>
      </c>
      <c r="G28" s="12">
        <f>'Table 22'!G28/'Table 22'!$X28*100</f>
        <v>0.2176278563656148</v>
      </c>
      <c r="H28" s="12">
        <f>'Table 22'!H28/'Table 22'!$X28*100</f>
        <v>10.337323177366702</v>
      </c>
      <c r="I28" s="12">
        <f>'Table 22'!I28/'Table 22'!$X28*100</f>
        <v>0</v>
      </c>
      <c r="J28" s="17">
        <f>'Table 22'!J28/'Table 22'!$X28*100</f>
        <v>0</v>
      </c>
      <c r="K28" s="12">
        <f>'Table 22'!K28/'Table 22'!$X28*100</f>
        <v>0</v>
      </c>
      <c r="L28" s="12">
        <f>'Table 22'!L28/'Table 22'!$X28*100</f>
        <v>28.944504896626768</v>
      </c>
      <c r="M28" s="12">
        <f>'Table 22'!M28/'Table 22'!$X28*100</f>
        <v>0</v>
      </c>
      <c r="N28" s="12">
        <f>'Table 22'!N28/'Table 22'!$X28*100</f>
        <v>1.632208922742111</v>
      </c>
      <c r="O28" s="12">
        <f>'Table 22'!O28/'Table 22'!$X28*100</f>
        <v>1.5233949945593037</v>
      </c>
      <c r="P28" s="12">
        <f>'Table 22'!P28/'Table 22'!$X28*100</f>
        <v>0.2176278563656148</v>
      </c>
      <c r="Q28" s="12">
        <f>'Table 22'!Q28/'Table 22'!$X28*100</f>
        <v>10.881392818280739</v>
      </c>
      <c r="R28" s="17">
        <f>'Table 22'!R28/'Table 22'!$X28*100</f>
        <v>0.1088139281828074</v>
      </c>
      <c r="S28" s="17">
        <f>'Table 22'!S28/'Table 22'!$X28*100</f>
        <v>0</v>
      </c>
      <c r="T28" s="17">
        <f>'Table 22'!T28/'Table 22'!$X28*100</f>
        <v>0</v>
      </c>
      <c r="U28" s="17">
        <f>'Table 22'!U28/'Table 22'!$X28*100</f>
        <v>0</v>
      </c>
      <c r="V28" s="17">
        <f>'Table 22'!V28/'Table 22'!$X28*100</f>
        <v>0.1088139281828074</v>
      </c>
      <c r="W28" s="17">
        <f>'Table 22'!W28/'Table 22'!$X28*100</f>
        <v>0</v>
      </c>
      <c r="X28" s="12">
        <f t="shared" si="0"/>
        <v>100</v>
      </c>
    </row>
    <row r="29" spans="1:24">
      <c r="A29" s="15" t="s">
        <v>56</v>
      </c>
      <c r="B29" s="15" t="s">
        <v>57</v>
      </c>
      <c r="C29" s="15">
        <v>6586118.5999999996</v>
      </c>
      <c r="D29" s="15">
        <v>343169.3</v>
      </c>
      <c r="E29" s="12">
        <f>'Table 22'!E29/'Table 22'!$X29*100</f>
        <v>3.9348710990502038</v>
      </c>
      <c r="F29" s="12">
        <f>'Table 22'!F29/'Table 22'!$X29*100</f>
        <v>3.3921302578018993</v>
      </c>
      <c r="G29" s="12">
        <f>'Table 22'!G29/'Table 22'!$X29*100</f>
        <v>0.13568521031207598</v>
      </c>
      <c r="H29" s="12">
        <f>'Table 22'!H29/'Table 22'!$X29*100</f>
        <v>46.811397557666211</v>
      </c>
      <c r="I29" s="12">
        <f>'Table 22'!I29/'Table 22'!$X29*100</f>
        <v>0</v>
      </c>
      <c r="J29" s="17">
        <f>'Table 22'!J29/'Table 22'!$X29*100</f>
        <v>0</v>
      </c>
      <c r="K29" s="12">
        <f>'Table 22'!K29/'Table 22'!$X29*100</f>
        <v>0.40705563093622793</v>
      </c>
      <c r="L29" s="12">
        <f>'Table 22'!L29/'Table 22'!$X29*100</f>
        <v>25.508819538670284</v>
      </c>
      <c r="M29" s="12">
        <f>'Table 22'!M29/'Table 22'!$X29*100</f>
        <v>0</v>
      </c>
      <c r="N29" s="12">
        <f>'Table 22'!N29/'Table 22'!$X29*100</f>
        <v>0</v>
      </c>
      <c r="O29" s="12">
        <f>'Table 22'!O29/'Table 22'!$X29*100</f>
        <v>14.654002713704205</v>
      </c>
      <c r="P29" s="12">
        <f>'Table 22'!P29/'Table 22'!$X29*100</f>
        <v>0.54274084124830391</v>
      </c>
      <c r="Q29" s="12">
        <f>'Table 22'!Q29/'Table 22'!$X29*100</f>
        <v>4.4776119402985071</v>
      </c>
      <c r="R29" s="17">
        <f>'Table 22'!R29/'Table 22'!$X29*100</f>
        <v>0</v>
      </c>
      <c r="S29" s="17">
        <f>'Table 22'!S29/'Table 22'!$X29*100</f>
        <v>0</v>
      </c>
      <c r="T29" s="17">
        <f>'Table 22'!T29/'Table 22'!$X29*100</f>
        <v>0</v>
      </c>
      <c r="U29" s="17">
        <f>'Table 22'!U29/'Table 22'!$X29*100</f>
        <v>0</v>
      </c>
      <c r="V29" s="17">
        <f>'Table 22'!V29/'Table 22'!$X29*100</f>
        <v>0</v>
      </c>
      <c r="W29" s="17">
        <f>'Table 22'!W29/'Table 22'!$X29*100</f>
        <v>0.13568521031207598</v>
      </c>
      <c r="X29" s="12">
        <f t="shared" si="0"/>
        <v>99.999999999999986</v>
      </c>
    </row>
    <row r="30" spans="1:24">
      <c r="A30" s="15" t="s">
        <v>58</v>
      </c>
      <c r="B30" s="15" t="s">
        <v>59</v>
      </c>
      <c r="C30" s="15">
        <v>6587819.5</v>
      </c>
      <c r="D30" s="15">
        <v>353653.5</v>
      </c>
      <c r="E30" s="12">
        <f>'Table 22'!E30/'Table 22'!$X30*100</f>
        <v>27.331189710610932</v>
      </c>
      <c r="F30" s="12">
        <f>'Table 22'!F30/'Table 22'!$X30*100</f>
        <v>1.1254019292604502</v>
      </c>
      <c r="G30" s="12">
        <f>'Table 22'!G30/'Table 22'!$X30*100</f>
        <v>0.32154340836012862</v>
      </c>
      <c r="H30" s="12">
        <f>'Table 22'!H30/'Table 22'!$X30*100</f>
        <v>30.868167202572351</v>
      </c>
      <c r="I30" s="12">
        <f>'Table 22'!I30/'Table 22'!$X30*100</f>
        <v>3.215434083601286</v>
      </c>
      <c r="J30" s="17">
        <f>'Table 22'!J30/'Table 22'!$X30*100</f>
        <v>0</v>
      </c>
      <c r="K30" s="12">
        <f>'Table 22'!K30/'Table 22'!$X30*100</f>
        <v>2.090032154340836</v>
      </c>
      <c r="L30" s="12">
        <f>'Table 22'!L30/'Table 22'!$X30*100</f>
        <v>20.739549839228296</v>
      </c>
      <c r="M30" s="12">
        <f>'Table 22'!M30/'Table 22'!$X30*100</f>
        <v>0</v>
      </c>
      <c r="N30" s="12">
        <f>'Table 22'!N30/'Table 22'!$X30*100</f>
        <v>0.16077170418006431</v>
      </c>
      <c r="O30" s="12">
        <f>'Table 22'!O30/'Table 22'!$X30*100</f>
        <v>1.2861736334405145</v>
      </c>
      <c r="P30" s="12">
        <f>'Table 22'!P30/'Table 22'!$X30*100</f>
        <v>3.8585209003215439</v>
      </c>
      <c r="Q30" s="12">
        <f>'Table 22'!Q30/'Table 22'!$X30*100</f>
        <v>9.0032154340836019</v>
      </c>
      <c r="R30" s="17">
        <f>'Table 22'!R30/'Table 22'!$X30*100</f>
        <v>0</v>
      </c>
      <c r="S30" s="17">
        <f>'Table 22'!S30/'Table 22'!$X30*100</f>
        <v>0</v>
      </c>
      <c r="T30" s="17">
        <f>'Table 22'!T30/'Table 22'!$X30*100</f>
        <v>0</v>
      </c>
      <c r="U30" s="17">
        <f>'Table 22'!U30/'Table 22'!$X30*100</f>
        <v>0</v>
      </c>
      <c r="V30" s="17">
        <f>'Table 22'!V30/'Table 22'!$X30*100</f>
        <v>0</v>
      </c>
      <c r="W30" s="17">
        <f>'Table 22'!W30/'Table 22'!$X30*100</f>
        <v>0</v>
      </c>
      <c r="X30" s="12">
        <f t="shared" si="0"/>
        <v>99.999999999999986</v>
      </c>
    </row>
    <row r="31" spans="1:24">
      <c r="A31" s="15" t="s">
        <v>60</v>
      </c>
      <c r="B31" s="15" t="s">
        <v>61</v>
      </c>
      <c r="C31" s="15">
        <v>6586764.2999999998</v>
      </c>
      <c r="D31" s="15">
        <v>352329.3</v>
      </c>
      <c r="E31" s="12">
        <f>'Table 22'!E31/'Table 22'!$X31*100</f>
        <v>21.283255086071986</v>
      </c>
      <c r="F31" s="12">
        <f>'Table 22'!F31/'Table 22'!$X31*100</f>
        <v>0</v>
      </c>
      <c r="G31" s="12">
        <f>'Table 22'!G31/'Table 22'!$X31*100</f>
        <v>0</v>
      </c>
      <c r="H31" s="12">
        <f>'Table 22'!H31/'Table 22'!$X31*100</f>
        <v>31.298904538341159</v>
      </c>
      <c r="I31" s="12">
        <f>'Table 22'!I31/'Table 22'!$X31*100</f>
        <v>0.1564945226917058</v>
      </c>
      <c r="J31" s="17">
        <f>'Table 22'!J31/'Table 22'!$X31*100</f>
        <v>0</v>
      </c>
      <c r="K31" s="12">
        <f>'Table 22'!K31/'Table 22'!$X31*100</f>
        <v>7.3552425665101726</v>
      </c>
      <c r="L31" s="12">
        <f>'Table 22'!L31/'Table 22'!$X31*100</f>
        <v>27.856025039123633</v>
      </c>
      <c r="M31" s="12">
        <f>'Table 22'!M31/'Table 22'!$X31*100</f>
        <v>0</v>
      </c>
      <c r="N31" s="12">
        <f>'Table 22'!N31/'Table 22'!$X31*100</f>
        <v>1.0954616588419406</v>
      </c>
      <c r="O31" s="12">
        <f>'Table 22'!O31/'Table 22'!$X31*100</f>
        <v>0.6259780907668232</v>
      </c>
      <c r="P31" s="12">
        <f>'Table 22'!P31/'Table 22'!$X31*100</f>
        <v>2.1909233176838812</v>
      </c>
      <c r="Q31" s="12">
        <f>'Table 22'!Q31/'Table 22'!$X31*100</f>
        <v>8.1377151799687013</v>
      </c>
      <c r="R31" s="17">
        <f>'Table 22'!R31/'Table 22'!$X31*100</f>
        <v>0</v>
      </c>
      <c r="S31" s="17">
        <f>'Table 22'!S31/'Table 22'!$X31*100</f>
        <v>0</v>
      </c>
      <c r="T31" s="17">
        <f>'Table 22'!T31/'Table 22'!$X31*100</f>
        <v>0</v>
      </c>
      <c r="U31" s="17">
        <f>'Table 22'!U31/'Table 22'!$X31*100</f>
        <v>0</v>
      </c>
      <c r="V31" s="17">
        <f>'Table 22'!V31/'Table 22'!$X31*100</f>
        <v>0</v>
      </c>
      <c r="W31" s="17">
        <f>'Table 22'!W31/'Table 22'!$X31*100</f>
        <v>0</v>
      </c>
      <c r="X31" s="12">
        <f t="shared" si="0"/>
        <v>100</v>
      </c>
    </row>
    <row r="32" spans="1:24">
      <c r="A32" s="15" t="s">
        <v>62</v>
      </c>
      <c r="B32" s="15" t="s">
        <v>63</v>
      </c>
      <c r="C32" s="15">
        <v>6585790</v>
      </c>
      <c r="D32" s="15">
        <v>344014</v>
      </c>
      <c r="E32" s="12">
        <f>'Table 22'!E32/'Table 22'!$X32*100</f>
        <v>14.023372287145241</v>
      </c>
      <c r="F32" s="12">
        <f>'Table 22'!F32/'Table 22'!$X32*100</f>
        <v>0.8347245409015025</v>
      </c>
      <c r="G32" s="12">
        <f>'Table 22'!G32/'Table 22'!$X32*100</f>
        <v>0</v>
      </c>
      <c r="H32" s="12">
        <f>'Table 22'!H32/'Table 22'!$X32*100</f>
        <v>40.066777963272123</v>
      </c>
      <c r="I32" s="12">
        <f>'Table 22'!I32/'Table 22'!$X32*100</f>
        <v>0</v>
      </c>
      <c r="J32" s="17">
        <f>'Table 22'!J32/'Table 22'!$X32*100</f>
        <v>0</v>
      </c>
      <c r="K32" s="12">
        <f>'Table 22'!K32/'Table 22'!$X32*100</f>
        <v>1.669449081803005</v>
      </c>
      <c r="L32" s="12">
        <f>'Table 22'!L32/'Table 22'!$X32*100</f>
        <v>26.37729549248748</v>
      </c>
      <c r="M32" s="12">
        <f>'Table 22'!M32/'Table 22'!$X32*100</f>
        <v>0.333889816360601</v>
      </c>
      <c r="N32" s="12">
        <f>'Table 22'!N32/'Table 22'!$X32*100</f>
        <v>4.1736227045075127</v>
      </c>
      <c r="O32" s="12">
        <f>'Table 22'!O32/'Table 22'!$X32*100</f>
        <v>2.8380634390651087</v>
      </c>
      <c r="P32" s="12">
        <f>'Table 22'!P32/'Table 22'!$X32*100</f>
        <v>1.1686143572621035</v>
      </c>
      <c r="Q32" s="12">
        <f>'Table 22'!Q32/'Table 22'!$X32*100</f>
        <v>8.3472454090150254</v>
      </c>
      <c r="R32" s="17">
        <f>'Table 22'!R32/'Table 22'!$X32*100</f>
        <v>0</v>
      </c>
      <c r="S32" s="17">
        <f>'Table 22'!S32/'Table 22'!$X32*100</f>
        <v>0</v>
      </c>
      <c r="T32" s="17">
        <f>'Table 22'!T32/'Table 22'!$X32*100</f>
        <v>0</v>
      </c>
      <c r="U32" s="17">
        <f>'Table 22'!U32/'Table 22'!$X32*100</f>
        <v>0</v>
      </c>
      <c r="V32" s="17">
        <f>'Table 22'!V32/'Table 22'!$X32*100</f>
        <v>0.1669449081803005</v>
      </c>
      <c r="W32" s="17">
        <f>'Table 22'!W32/'Table 22'!$X32*100</f>
        <v>0</v>
      </c>
      <c r="X32" s="12">
        <f t="shared" si="0"/>
        <v>100</v>
      </c>
    </row>
    <row r="33" spans="1:24">
      <c r="A33" s="15" t="s">
        <v>64</v>
      </c>
      <c r="B33" s="15" t="s">
        <v>65</v>
      </c>
      <c r="C33" s="15">
        <v>6579240.2000000002</v>
      </c>
      <c r="D33" s="15">
        <v>341497.8</v>
      </c>
      <c r="E33" s="12">
        <f>'Table 22'!E33/'Table 22'!$X33*100</f>
        <v>18.441558441558442</v>
      </c>
      <c r="F33" s="12">
        <f>'Table 22'!F33/'Table 22'!$X33*100</f>
        <v>1.1688311688311688</v>
      </c>
      <c r="G33" s="12">
        <f>'Table 22'!G33/'Table 22'!$X33*100</f>
        <v>0</v>
      </c>
      <c r="H33" s="12">
        <f>'Table 22'!H33/'Table 22'!$X33*100</f>
        <v>38.441558441558442</v>
      </c>
      <c r="I33" s="12">
        <f>'Table 22'!I33/'Table 22'!$X33*100</f>
        <v>0.25974025974025972</v>
      </c>
      <c r="J33" s="17">
        <f>'Table 22'!J33/'Table 22'!$X33*100</f>
        <v>0</v>
      </c>
      <c r="K33" s="12">
        <f>'Table 22'!K33/'Table 22'!$X33*100</f>
        <v>2.2077922077922079</v>
      </c>
      <c r="L33" s="12">
        <f>'Table 22'!L33/'Table 22'!$X33*100</f>
        <v>28.571428571428569</v>
      </c>
      <c r="M33" s="12">
        <f>'Table 22'!M33/'Table 22'!$X33*100</f>
        <v>0.12987012987012986</v>
      </c>
      <c r="N33" s="12">
        <f>'Table 22'!N33/'Table 22'!$X33*100</f>
        <v>0</v>
      </c>
      <c r="O33" s="12">
        <f>'Table 22'!O33/'Table 22'!$X33*100</f>
        <v>3.5064935064935061</v>
      </c>
      <c r="P33" s="12">
        <f>'Table 22'!P33/'Table 22'!$X33*100</f>
        <v>0.77922077922077926</v>
      </c>
      <c r="Q33" s="12">
        <f>'Table 22'!Q33/'Table 22'!$X33*100</f>
        <v>6.3636363636363633</v>
      </c>
      <c r="R33" s="17">
        <f>'Table 22'!R33/'Table 22'!$X33*100</f>
        <v>0</v>
      </c>
      <c r="S33" s="17">
        <f>'Table 22'!S33/'Table 22'!$X33*100</f>
        <v>0</v>
      </c>
      <c r="T33" s="17">
        <f>'Table 22'!T33/'Table 22'!$X33*100</f>
        <v>0</v>
      </c>
      <c r="U33" s="17">
        <f>'Table 22'!U33/'Table 22'!$X33*100</f>
        <v>0</v>
      </c>
      <c r="V33" s="17">
        <f>'Table 22'!V33/'Table 22'!$X33*100</f>
        <v>0.12987012987012986</v>
      </c>
      <c r="W33" s="17">
        <f>'Table 22'!W33/'Table 22'!$X33*100</f>
        <v>0</v>
      </c>
      <c r="X33" s="12">
        <f t="shared" si="0"/>
        <v>100</v>
      </c>
    </row>
    <row r="34" spans="1:24" s="13" customFormat="1">
      <c r="A34" s="15" t="s">
        <v>66</v>
      </c>
      <c r="B34" s="15" t="s">
        <v>67</v>
      </c>
      <c r="C34" s="15">
        <v>6579158</v>
      </c>
      <c r="D34" s="15">
        <v>341781.4</v>
      </c>
      <c r="E34" s="12">
        <f>'Table 22'!E34/'Table 22'!$X34*100</f>
        <v>29.671717171717169</v>
      </c>
      <c r="F34" s="12">
        <f>'Table 22'!F34/'Table 22'!$X34*100</f>
        <v>1.5151515151515151</v>
      </c>
      <c r="G34" s="12">
        <f>'Table 22'!G34/'Table 22'!$X34*100</f>
        <v>0.12626262626262627</v>
      </c>
      <c r="H34" s="12">
        <f>'Table 22'!H34/'Table 22'!$X34*100</f>
        <v>35.479797979797979</v>
      </c>
      <c r="I34" s="12">
        <f>'Table 22'!I34/'Table 22'!$X34*100</f>
        <v>0.75757575757575757</v>
      </c>
      <c r="J34" s="17">
        <f>'Table 22'!J34/'Table 22'!$X34*100</f>
        <v>0</v>
      </c>
      <c r="K34" s="12">
        <f>'Table 22'!K34/'Table 22'!$X34*100</f>
        <v>1.6414141414141417</v>
      </c>
      <c r="L34" s="12">
        <f>'Table 22'!L34/'Table 22'!$X34*100</f>
        <v>23.106060606060606</v>
      </c>
      <c r="M34" s="12">
        <f>'Table 22'!M34/'Table 22'!$X34*100</f>
        <v>0.25252525252525254</v>
      </c>
      <c r="N34" s="12">
        <f>'Table 22'!N34/'Table 22'!$X34*100</f>
        <v>0</v>
      </c>
      <c r="O34" s="12">
        <f>'Table 22'!O34/'Table 22'!$X34*100</f>
        <v>2.3989898989898988</v>
      </c>
      <c r="P34" s="12">
        <f>'Table 22'!P34/'Table 22'!$X34*100</f>
        <v>1.1363636363636365</v>
      </c>
      <c r="Q34" s="12">
        <f>'Table 22'!Q34/'Table 22'!$X34*100</f>
        <v>3.9141414141414144</v>
      </c>
      <c r="R34" s="17">
        <f>'Table 22'!R34/'Table 22'!$X34*100</f>
        <v>0</v>
      </c>
      <c r="S34" s="17">
        <f>'Table 22'!S34/'Table 22'!$X34*100</f>
        <v>0</v>
      </c>
      <c r="T34" s="17">
        <f>'Table 22'!T34/'Table 22'!$X34*100</f>
        <v>0</v>
      </c>
      <c r="U34" s="17">
        <f>'Table 22'!U34/'Table 22'!$X34*100</f>
        <v>0</v>
      </c>
      <c r="V34" s="17">
        <f>'Table 22'!V34/'Table 22'!$X34*100</f>
        <v>0</v>
      </c>
      <c r="W34" s="17">
        <f>'Table 22'!W34/'Table 22'!$X34*100</f>
        <v>0</v>
      </c>
      <c r="X34" s="12">
        <f t="shared" si="0"/>
        <v>99.999999999999986</v>
      </c>
    </row>
    <row r="35" spans="1:24" s="13" customFormat="1">
      <c r="A35" s="15" t="s">
        <v>68</v>
      </c>
      <c r="B35" s="15" t="s">
        <v>69</v>
      </c>
      <c r="C35" s="15">
        <v>6579164.2999999998</v>
      </c>
      <c r="D35" s="15">
        <v>342054.5</v>
      </c>
      <c r="E35" s="12">
        <f>'Table 22'!E35/'Table 22'!$X35*100</f>
        <v>15.32033426183844</v>
      </c>
      <c r="F35" s="12">
        <f>'Table 22'!F35/'Table 22'!$X35*100</f>
        <v>2.9247910863509747</v>
      </c>
      <c r="G35" s="12">
        <f>'Table 22'!G35/'Table 22'!$X35*100</f>
        <v>0.2785515320334262</v>
      </c>
      <c r="H35" s="12">
        <f>'Table 22'!H35/'Table 22'!$X35*100</f>
        <v>40.529247910863511</v>
      </c>
      <c r="I35" s="12">
        <f>'Table 22'!I35/'Table 22'!$X35*100</f>
        <v>0.2785515320334262</v>
      </c>
      <c r="J35" s="17">
        <f>'Table 22'!J35/'Table 22'!$X35*100</f>
        <v>0</v>
      </c>
      <c r="K35" s="12">
        <f>'Table 22'!K35/'Table 22'!$X35*100</f>
        <v>3.2033426183844012</v>
      </c>
      <c r="L35" s="12">
        <f>'Table 22'!L35/'Table 22'!$X35*100</f>
        <v>23.955431754874652</v>
      </c>
      <c r="M35" s="12">
        <f>'Table 22'!M35/'Table 22'!$X35*100</f>
        <v>0</v>
      </c>
      <c r="N35" s="12">
        <f>'Table 22'!N35/'Table 22'!$X35*100</f>
        <v>0</v>
      </c>
      <c r="O35" s="12">
        <f>'Table 22'!O35/'Table 22'!$X35*100</f>
        <v>4.4568245125348191</v>
      </c>
      <c r="P35" s="12">
        <f>'Table 22'!P35/'Table 22'!$X35*100</f>
        <v>1.392757660167131</v>
      </c>
      <c r="Q35" s="12">
        <f>'Table 22'!Q35/'Table 22'!$X35*100</f>
        <v>7.2423398328690807</v>
      </c>
      <c r="R35" s="17">
        <f>'Table 22'!R35/'Table 22'!$X35*100</f>
        <v>0.1392757660167131</v>
      </c>
      <c r="S35" s="17">
        <f>'Table 22'!S35/'Table 22'!$X35*100</f>
        <v>0</v>
      </c>
      <c r="T35" s="17">
        <f>'Table 22'!T35/'Table 22'!$X35*100</f>
        <v>0</v>
      </c>
      <c r="U35" s="17">
        <f>'Table 22'!U35/'Table 22'!$X35*100</f>
        <v>0.1392757660167131</v>
      </c>
      <c r="V35" s="17">
        <f>'Table 22'!V35/'Table 22'!$X35*100</f>
        <v>0</v>
      </c>
      <c r="W35" s="17">
        <f>'Table 22'!W35/'Table 22'!$X35*100</f>
        <v>0.1392757660167131</v>
      </c>
      <c r="X35" s="12">
        <f t="shared" si="0"/>
        <v>100</v>
      </c>
    </row>
    <row r="36" spans="1:24" s="13" customFormat="1">
      <c r="A36" s="15" t="s">
        <v>70</v>
      </c>
      <c r="B36" s="15" t="s">
        <v>71</v>
      </c>
      <c r="C36" s="15">
        <v>6579181</v>
      </c>
      <c r="D36" s="15">
        <v>342236.9</v>
      </c>
      <c r="E36" s="12">
        <f>'Table 22'!E36/'Table 22'!$X36*100</f>
        <v>24.424552429667521</v>
      </c>
      <c r="F36" s="12">
        <f>'Table 22'!F36/'Table 22'!$X36*100</f>
        <v>2.9411764705882351</v>
      </c>
      <c r="G36" s="12">
        <f>'Table 22'!G36/'Table 22'!$X36*100</f>
        <v>0.38363171355498721</v>
      </c>
      <c r="H36" s="12">
        <f>'Table 22'!H36/'Table 22'!$X36*100</f>
        <v>34.654731457800516</v>
      </c>
      <c r="I36" s="12">
        <f>'Table 22'!I36/'Table 22'!$X36*100</f>
        <v>1.5345268542199488</v>
      </c>
      <c r="J36" s="17">
        <f>'Table 22'!J36/'Table 22'!$X36*100</f>
        <v>0.12787723785166241</v>
      </c>
      <c r="K36" s="12">
        <f>'Table 22'!K36/'Table 22'!$X36*100</f>
        <v>2.3017902813299234</v>
      </c>
      <c r="L36" s="12">
        <f>'Table 22'!L36/'Table 22'!$X36*100</f>
        <v>20.843989769820972</v>
      </c>
      <c r="M36" s="12">
        <f>'Table 22'!M36/'Table 22'!$X36*100</f>
        <v>0.25575447570332482</v>
      </c>
      <c r="N36" s="12">
        <f>'Table 22'!N36/'Table 22'!$X36*100</f>
        <v>0</v>
      </c>
      <c r="O36" s="12">
        <f>'Table 22'!O36/'Table 22'!$X36*100</f>
        <v>5.8823529411764701</v>
      </c>
      <c r="P36" s="12">
        <f>'Table 22'!P36/'Table 22'!$X36*100</f>
        <v>0.51150895140664965</v>
      </c>
      <c r="Q36" s="12">
        <f>'Table 22'!Q36/'Table 22'!$X36*100</f>
        <v>5.8823529411764701</v>
      </c>
      <c r="R36" s="17">
        <f>'Table 22'!R36/'Table 22'!$X36*100</f>
        <v>0</v>
      </c>
      <c r="S36" s="17">
        <f>'Table 22'!S36/'Table 22'!$X36*100</f>
        <v>0</v>
      </c>
      <c r="T36" s="17">
        <f>'Table 22'!T36/'Table 22'!$X36*100</f>
        <v>0</v>
      </c>
      <c r="U36" s="17">
        <f>'Table 22'!U36/'Table 22'!$X36*100</f>
        <v>0.12787723785166241</v>
      </c>
      <c r="V36" s="17">
        <f>'Table 22'!V36/'Table 22'!$X36*100</f>
        <v>0.12787723785166241</v>
      </c>
      <c r="W36" s="17">
        <f>'Table 22'!W36/'Table 22'!$X36*100</f>
        <v>0</v>
      </c>
      <c r="X36" s="12">
        <f t="shared" si="0"/>
        <v>100</v>
      </c>
    </row>
    <row r="37" spans="1:24" s="13" customFormat="1">
      <c r="A37" s="15" t="s">
        <v>72</v>
      </c>
      <c r="B37" s="15" t="s">
        <v>73</v>
      </c>
      <c r="C37" s="15">
        <v>6579332.4000000004</v>
      </c>
      <c r="D37" s="15">
        <v>342206.7</v>
      </c>
      <c r="E37" s="12">
        <f>'Table 22'!E37/'Table 22'!$X37*100</f>
        <v>19.128586609989373</v>
      </c>
      <c r="F37" s="12">
        <f>'Table 22'!F37/'Table 22'!$X37*100</f>
        <v>1.8065887353878853</v>
      </c>
      <c r="G37" s="12">
        <f>'Table 22'!G37/'Table 22'!$X37*100</f>
        <v>0.42507970244420828</v>
      </c>
      <c r="H37" s="12">
        <f>'Table 22'!H37/'Table 22'!$X37*100</f>
        <v>37.619553666312434</v>
      </c>
      <c r="I37" s="12">
        <f>'Table 22'!I37/'Table 22'!$X37*100</f>
        <v>0.74388947927736448</v>
      </c>
      <c r="J37" s="17">
        <f>'Table 22'!J37/'Table 22'!$X37*100</f>
        <v>0</v>
      </c>
      <c r="K37" s="12">
        <f>'Table 22'!K37/'Table 22'!$X37*100</f>
        <v>1.5940488841657812</v>
      </c>
      <c r="L37" s="12">
        <f>'Table 22'!L37/'Table 22'!$X37*100</f>
        <v>29.330499468650373</v>
      </c>
      <c r="M37" s="12">
        <f>'Table 22'!M37/'Table 22'!$X37*100</f>
        <v>0</v>
      </c>
      <c r="N37" s="12">
        <f>'Table 22'!N37/'Table 22'!$X37*100</f>
        <v>0</v>
      </c>
      <c r="O37" s="12">
        <f>'Table 22'!O37/'Table 22'!$X37*100</f>
        <v>2.9755579171094579</v>
      </c>
      <c r="P37" s="12">
        <f>'Table 22'!P37/'Table 22'!$X37*100</f>
        <v>0.42507970244420828</v>
      </c>
      <c r="Q37" s="12">
        <f>'Table 22'!Q37/'Table 22'!$X37*100</f>
        <v>5.7385759829968119</v>
      </c>
      <c r="R37" s="17">
        <f>'Table 22'!R37/'Table 22'!$X37*100</f>
        <v>0</v>
      </c>
      <c r="S37" s="17">
        <f>'Table 22'!S37/'Table 22'!$X37*100</f>
        <v>0</v>
      </c>
      <c r="T37" s="17">
        <f>'Table 22'!T37/'Table 22'!$X37*100</f>
        <v>0</v>
      </c>
      <c r="U37" s="17">
        <f>'Table 22'!U37/'Table 22'!$X37*100</f>
        <v>0</v>
      </c>
      <c r="V37" s="17">
        <f>'Table 22'!V37/'Table 22'!$X37*100</f>
        <v>0</v>
      </c>
      <c r="W37" s="17">
        <f>'Table 22'!W37/'Table 22'!$X37*100</f>
        <v>0.21253985122210414</v>
      </c>
      <c r="X37" s="12">
        <f t="shared" si="0"/>
        <v>100</v>
      </c>
    </row>
    <row r="38" spans="1:24" s="13" customFormat="1">
      <c r="A38" s="15" t="s">
        <v>74</v>
      </c>
      <c r="B38" s="15" t="s">
        <v>75</v>
      </c>
      <c r="C38" s="15">
        <v>6579319.7999999998</v>
      </c>
      <c r="D38" s="15">
        <v>342002.5</v>
      </c>
      <c r="E38" s="12">
        <f>'Table 22'!E38/'Table 22'!$X38*100</f>
        <v>17.777777777777779</v>
      </c>
      <c r="F38" s="12">
        <f>'Table 22'!F38/'Table 22'!$X38*100</f>
        <v>2.4836601307189543</v>
      </c>
      <c r="G38" s="12">
        <f>'Table 22'!G38/'Table 22'!$X38*100</f>
        <v>0.39215686274509803</v>
      </c>
      <c r="H38" s="12">
        <f>'Table 22'!H38/'Table 22'!$X38*100</f>
        <v>38.82352941176471</v>
      </c>
      <c r="I38" s="12">
        <f>'Table 22'!I38/'Table 22'!$X38*100</f>
        <v>0.91503267973856217</v>
      </c>
      <c r="J38" s="17">
        <f>'Table 22'!J38/'Table 22'!$X38*100</f>
        <v>0</v>
      </c>
      <c r="K38" s="12">
        <f>'Table 22'!K38/'Table 22'!$X38*100</f>
        <v>3.9215686274509802</v>
      </c>
      <c r="L38" s="12">
        <f>'Table 22'!L38/'Table 22'!$X38*100</f>
        <v>22.352941176470591</v>
      </c>
      <c r="M38" s="12">
        <f>'Table 22'!M38/'Table 22'!$X38*100</f>
        <v>0</v>
      </c>
      <c r="N38" s="12">
        <f>'Table 22'!N38/'Table 22'!$X38*100</f>
        <v>0</v>
      </c>
      <c r="O38" s="12">
        <f>'Table 22'!O38/'Table 22'!$X38*100</f>
        <v>4.7058823529411766</v>
      </c>
      <c r="P38" s="12">
        <f>'Table 22'!P38/'Table 22'!$X38*100</f>
        <v>1.5686274509803921</v>
      </c>
      <c r="Q38" s="12">
        <f>'Table 22'!Q38/'Table 22'!$X38*100</f>
        <v>6.9281045751633989</v>
      </c>
      <c r="R38" s="17">
        <f>'Table 22'!R38/'Table 22'!$X38*100</f>
        <v>0.13071895424836599</v>
      </c>
      <c r="S38" s="17">
        <f>'Table 22'!S38/'Table 22'!$X38*100</f>
        <v>0</v>
      </c>
      <c r="T38" s="17">
        <f>'Table 22'!T38/'Table 22'!$X38*100</f>
        <v>0</v>
      </c>
      <c r="U38" s="17">
        <f>'Table 22'!U38/'Table 22'!$X38*100</f>
        <v>0</v>
      </c>
      <c r="V38" s="17">
        <f>'Table 22'!V38/'Table 22'!$X38*100</f>
        <v>0</v>
      </c>
      <c r="W38" s="17">
        <f>'Table 22'!W38/'Table 22'!$X38*100</f>
        <v>0</v>
      </c>
      <c r="X38" s="12">
        <f t="shared" si="0"/>
        <v>100</v>
      </c>
    </row>
    <row r="39" spans="1:24" s="13" customFormat="1">
      <c r="A39" s="15" t="s">
        <v>76</v>
      </c>
      <c r="B39" s="15" t="s">
        <v>77</v>
      </c>
      <c r="C39" s="15">
        <v>6579713.2000000002</v>
      </c>
      <c r="D39" s="15">
        <v>342412.4</v>
      </c>
      <c r="E39" s="12">
        <f>'Table 22'!E39/'Table 22'!$X39*100</f>
        <v>21.706864564007422</v>
      </c>
      <c r="F39" s="12">
        <f>'Table 22'!F39/'Table 22'!$X39*100</f>
        <v>3.8961038961038961</v>
      </c>
      <c r="G39" s="12">
        <f>'Table 22'!G39/'Table 22'!$X39*100</f>
        <v>0.55658627087198509</v>
      </c>
      <c r="H39" s="12">
        <f>'Table 22'!H39/'Table 22'!$X39*100</f>
        <v>37.662337662337663</v>
      </c>
      <c r="I39" s="12">
        <f>'Table 22'!I39/'Table 22'!$X39*100</f>
        <v>1.855287569573284</v>
      </c>
      <c r="J39" s="17">
        <f>'Table 22'!J39/'Table 22'!$X39*100</f>
        <v>0</v>
      </c>
      <c r="K39" s="12">
        <f>'Table 22'!K39/'Table 22'!$X39*100</f>
        <v>2.2263450834879404</v>
      </c>
      <c r="L39" s="12">
        <f>'Table 22'!L39/'Table 22'!$X39*100</f>
        <v>18.738404452690165</v>
      </c>
      <c r="M39" s="12">
        <f>'Table 22'!M39/'Table 22'!$X39*100</f>
        <v>0</v>
      </c>
      <c r="N39" s="12">
        <f>'Table 22'!N39/'Table 22'!$X39*100</f>
        <v>0</v>
      </c>
      <c r="O39" s="12">
        <f>'Table 22'!O39/'Table 22'!$X39*100</f>
        <v>6.1224489795918364</v>
      </c>
      <c r="P39" s="12">
        <f>'Table 22'!P39/'Table 22'!$X39*100</f>
        <v>0.927643784786642</v>
      </c>
      <c r="Q39" s="12">
        <f>'Table 22'!Q39/'Table 22'!$X39*100</f>
        <v>6.1224489795918364</v>
      </c>
      <c r="R39" s="17">
        <f>'Table 22'!R39/'Table 22'!$X39*100</f>
        <v>0</v>
      </c>
      <c r="S39" s="17">
        <f>'Table 22'!S39/'Table 22'!$X39*100</f>
        <v>0</v>
      </c>
      <c r="T39" s="17">
        <f>'Table 22'!T39/'Table 22'!$X39*100</f>
        <v>0</v>
      </c>
      <c r="U39" s="17">
        <f>'Table 22'!U39/'Table 22'!$X39*100</f>
        <v>0.1855287569573284</v>
      </c>
      <c r="V39" s="17">
        <f>'Table 22'!V39/'Table 22'!$X39*100</f>
        <v>0</v>
      </c>
      <c r="W39" s="17">
        <f>'Table 22'!W39/'Table 22'!$X39*100</f>
        <v>0</v>
      </c>
      <c r="X39" s="12">
        <f t="shared" si="0"/>
        <v>99.999999999999986</v>
      </c>
    </row>
    <row r="40" spans="1:24" s="13" customFormat="1">
      <c r="A40" s="15" t="s">
        <v>78</v>
      </c>
      <c r="B40" s="15" t="s">
        <v>79</v>
      </c>
      <c r="C40" s="15">
        <v>6579763.5</v>
      </c>
      <c r="D40" s="15">
        <v>341592.9</v>
      </c>
      <c r="E40" s="12">
        <f>'Table 22'!E40/'Table 22'!$X40*100</f>
        <v>11.773472429210134</v>
      </c>
      <c r="F40" s="12">
        <f>'Table 22'!F40/'Table 22'!$X40*100</f>
        <v>1.9374068554396422</v>
      </c>
      <c r="G40" s="12">
        <f>'Table 22'!G40/'Table 22'!$X40*100</f>
        <v>1.0432190760059614</v>
      </c>
      <c r="H40" s="12">
        <f>'Table 22'!H40/'Table 22'!$X40*100</f>
        <v>45.007451564828614</v>
      </c>
      <c r="I40" s="12">
        <f>'Table 22'!I40/'Table 22'!$X40*100</f>
        <v>4.1728763040238457</v>
      </c>
      <c r="J40" s="17">
        <f>'Table 22'!J40/'Table 22'!$X40*100</f>
        <v>0.14903129657228018</v>
      </c>
      <c r="K40" s="12">
        <f>'Table 22'!K40/'Table 22'!$X40*100</f>
        <v>2.3845007451564828</v>
      </c>
      <c r="L40" s="12">
        <f>'Table 22'!L40/'Table 22'!$X40*100</f>
        <v>23.248882265275707</v>
      </c>
      <c r="M40" s="12">
        <f>'Table 22'!M40/'Table 22'!$X40*100</f>
        <v>0.29806259314456035</v>
      </c>
      <c r="N40" s="12">
        <f>'Table 22'!N40/'Table 22'!$X40*100</f>
        <v>0</v>
      </c>
      <c r="O40" s="12">
        <f>'Table 22'!O40/'Table 22'!$X40*100</f>
        <v>3.129657228017884</v>
      </c>
      <c r="P40" s="12">
        <f>'Table 22'!P40/'Table 22'!$X40*100</f>
        <v>0.14903129657228018</v>
      </c>
      <c r="Q40" s="12">
        <f>'Table 22'!Q40/'Table 22'!$X40*100</f>
        <v>6.4083457526080485</v>
      </c>
      <c r="R40" s="17">
        <f>'Table 22'!R40/'Table 22'!$X40*100</f>
        <v>0</v>
      </c>
      <c r="S40" s="17">
        <f>'Table 22'!S40/'Table 22'!$X40*100</f>
        <v>0</v>
      </c>
      <c r="T40" s="17">
        <f>'Table 22'!T40/'Table 22'!$X40*100</f>
        <v>0</v>
      </c>
      <c r="U40" s="17">
        <f>'Table 22'!U40/'Table 22'!$X40*100</f>
        <v>0.14903129657228018</v>
      </c>
      <c r="V40" s="17">
        <f>'Table 22'!V40/'Table 22'!$X40*100</f>
        <v>0</v>
      </c>
      <c r="W40" s="17">
        <f>'Table 22'!W40/'Table 22'!$X40*100</f>
        <v>0.14903129657228018</v>
      </c>
      <c r="X40" s="12">
        <f t="shared" si="0"/>
        <v>100</v>
      </c>
    </row>
    <row r="41" spans="1:24" s="13" customFormat="1">
      <c r="A41" s="15" t="s">
        <v>80</v>
      </c>
      <c r="B41" s="15" t="s">
        <v>81</v>
      </c>
      <c r="C41" s="15">
        <v>6579431</v>
      </c>
      <c r="D41" s="15">
        <v>342544</v>
      </c>
      <c r="E41" s="12">
        <f>'Table 22'!E41/'Table 22'!$X41*100</f>
        <v>13.541666666666666</v>
      </c>
      <c r="F41" s="12">
        <f>'Table 22'!F41/'Table 22'!$X41*100</f>
        <v>3.3854166666666665</v>
      </c>
      <c r="G41" s="12">
        <f>'Table 22'!G41/'Table 22'!$X41*100</f>
        <v>0.78125</v>
      </c>
      <c r="H41" s="12">
        <f>'Table 22'!H41/'Table 22'!$X41*100</f>
        <v>48.046875</v>
      </c>
      <c r="I41" s="12">
        <f>'Table 22'!I41/'Table 22'!$X41*100</f>
        <v>1.4322916666666665</v>
      </c>
      <c r="J41" s="17">
        <f>'Table 22'!J41/'Table 22'!$X41*100</f>
        <v>0</v>
      </c>
      <c r="K41" s="12">
        <f>'Table 22'!K41/'Table 22'!$X41*100</f>
        <v>1.8229166666666667</v>
      </c>
      <c r="L41" s="12">
        <f>'Table 22'!L41/'Table 22'!$X41*100</f>
        <v>17.96875</v>
      </c>
      <c r="M41" s="12">
        <f>'Table 22'!M41/'Table 22'!$X41*100</f>
        <v>0.390625</v>
      </c>
      <c r="N41" s="12">
        <f>'Table 22'!N41/'Table 22'!$X41*100</f>
        <v>0</v>
      </c>
      <c r="O41" s="12">
        <f>'Table 22'!O41/'Table 22'!$X41*100</f>
        <v>6.25</v>
      </c>
      <c r="P41" s="12">
        <f>'Table 22'!P41/'Table 22'!$X41*100</f>
        <v>0.26041666666666663</v>
      </c>
      <c r="Q41" s="12">
        <f>'Table 22'!Q41/'Table 22'!$X41*100</f>
        <v>5.9895833333333339</v>
      </c>
      <c r="R41" s="17">
        <f>'Table 22'!R41/'Table 22'!$X41*100</f>
        <v>0</v>
      </c>
      <c r="S41" s="17">
        <f>'Table 22'!S41/'Table 22'!$X41*100</f>
        <v>0</v>
      </c>
      <c r="T41" s="17">
        <f>'Table 22'!T41/'Table 22'!$X41*100</f>
        <v>0</v>
      </c>
      <c r="U41" s="17">
        <f>'Table 22'!U41/'Table 22'!$X41*100</f>
        <v>0</v>
      </c>
      <c r="V41" s="17">
        <f>'Table 22'!V41/'Table 22'!$X41*100</f>
        <v>0.13020833333333331</v>
      </c>
      <c r="W41" s="17">
        <f>'Table 22'!W41/'Table 22'!$X41*100</f>
        <v>0</v>
      </c>
      <c r="X41" s="12">
        <f t="shared" si="0"/>
        <v>100</v>
      </c>
    </row>
    <row r="42" spans="1:24" s="13" customFormat="1">
      <c r="A42" s="15" t="s">
        <v>82</v>
      </c>
      <c r="B42" s="15" t="s">
        <v>83</v>
      </c>
      <c r="C42" s="15">
        <v>6585234.5999999996</v>
      </c>
      <c r="D42" s="15">
        <v>343449.9</v>
      </c>
      <c r="E42" s="12">
        <f>'Table 22'!E42/'Table 22'!$X42*100</f>
        <v>10.647181628392484</v>
      </c>
      <c r="F42" s="12">
        <f>'Table 22'!F42/'Table 22'!$X42*100</f>
        <v>0.41753653444676403</v>
      </c>
      <c r="G42" s="12">
        <f>'Table 22'!G42/'Table 22'!$X42*100</f>
        <v>0.20876826722338201</v>
      </c>
      <c r="H42" s="12">
        <f>'Table 22'!H42/'Table 22'!$X42*100</f>
        <v>34.029227557411275</v>
      </c>
      <c r="I42" s="12">
        <f>'Table 22'!I42/'Table 22'!$X42*100</f>
        <v>0.20876826722338201</v>
      </c>
      <c r="J42" s="17">
        <f>'Table 22'!J42/'Table 22'!$X42*100</f>
        <v>0</v>
      </c>
      <c r="K42" s="12">
        <f>'Table 22'!K42/'Table 22'!$X42*100</f>
        <v>12.10855949895616</v>
      </c>
      <c r="L42" s="12">
        <f>'Table 22'!L42/'Table 22'!$X42*100</f>
        <v>25.887265135699373</v>
      </c>
      <c r="M42" s="12">
        <f>'Table 22'!M42/'Table 22'!$X42*100</f>
        <v>0</v>
      </c>
      <c r="N42" s="12">
        <f>'Table 22'!N42/'Table 22'!$X42*100</f>
        <v>2.7139874739039667</v>
      </c>
      <c r="O42" s="12">
        <f>'Table 22'!O42/'Table 22'!$X42*100</f>
        <v>0.20876826722338201</v>
      </c>
      <c r="P42" s="12">
        <f>'Table 22'!P42/'Table 22'!$X42*100</f>
        <v>1.8789144050104383</v>
      </c>
      <c r="Q42" s="12">
        <f>'Table 22'!Q42/'Table 22'!$X42*100</f>
        <v>11.691022964509393</v>
      </c>
      <c r="R42" s="17">
        <f>'Table 22'!R42/'Table 22'!$X42*100</f>
        <v>0</v>
      </c>
      <c r="S42" s="17">
        <f>'Table 22'!S42/'Table 22'!$X42*100</f>
        <v>0</v>
      </c>
      <c r="T42" s="17">
        <f>'Table 22'!T42/'Table 22'!$X42*100</f>
        <v>0</v>
      </c>
      <c r="U42" s="17">
        <f>'Table 22'!U42/'Table 22'!$X42*100</f>
        <v>0</v>
      </c>
      <c r="V42" s="17">
        <f>'Table 22'!V42/'Table 22'!$X42*100</f>
        <v>0</v>
      </c>
      <c r="W42" s="17">
        <f>'Table 22'!W42/'Table 22'!$X42*100</f>
        <v>0</v>
      </c>
      <c r="X42" s="12">
        <f t="shared" si="0"/>
        <v>100</v>
      </c>
    </row>
    <row r="43" spans="1:24" s="13" customFormat="1">
      <c r="A43" s="15" t="s">
        <v>84</v>
      </c>
      <c r="B43" s="15" t="s">
        <v>85</v>
      </c>
      <c r="C43" s="15">
        <v>6579525.4000000004</v>
      </c>
      <c r="D43" s="15">
        <v>341986.3</v>
      </c>
      <c r="E43" s="12">
        <f>'Table 22'!E43/'Table 22'!$X43*100</f>
        <v>23.026315789473685</v>
      </c>
      <c r="F43" s="12">
        <f>'Table 22'!F43/'Table 22'!$X43*100</f>
        <v>0.98684210526315785</v>
      </c>
      <c r="G43" s="12">
        <f>'Table 22'!G43/'Table 22'!$X43*100</f>
        <v>0</v>
      </c>
      <c r="H43" s="12">
        <f>'Table 22'!H43/'Table 22'!$X43*100</f>
        <v>30.372807017543856</v>
      </c>
      <c r="I43" s="12">
        <f>'Table 22'!I43/'Table 22'!$X43*100</f>
        <v>2.083333333333333</v>
      </c>
      <c r="J43" s="17">
        <f>'Table 22'!J43/'Table 22'!$X43*100</f>
        <v>0</v>
      </c>
      <c r="K43" s="12">
        <f>'Table 22'!K43/'Table 22'!$X43*100</f>
        <v>4.7149122807017543</v>
      </c>
      <c r="L43" s="12">
        <f>'Table 22'!L43/'Table 22'!$X43*100</f>
        <v>28.947368421052634</v>
      </c>
      <c r="M43" s="12">
        <f>'Table 22'!M43/'Table 22'!$X43*100</f>
        <v>0.10964912280701754</v>
      </c>
      <c r="N43" s="12">
        <f>'Table 22'!N43/'Table 22'!$X43*100</f>
        <v>0</v>
      </c>
      <c r="O43" s="12">
        <f>'Table 22'!O43/'Table 22'!$X43*100</f>
        <v>2.4122807017543857</v>
      </c>
      <c r="P43" s="12">
        <f>'Table 22'!P43/'Table 22'!$X43*100</f>
        <v>0.43859649122807015</v>
      </c>
      <c r="Q43" s="12">
        <f>'Table 22'!Q43/'Table 22'!$X43*100</f>
        <v>6.5789473684210522</v>
      </c>
      <c r="R43" s="17">
        <f>'Table 22'!R43/'Table 22'!$X43*100</f>
        <v>0.10964912280701754</v>
      </c>
      <c r="S43" s="17">
        <f>'Table 22'!S43/'Table 22'!$X43*100</f>
        <v>0.10964912280701754</v>
      </c>
      <c r="T43" s="17">
        <f>'Table 22'!T43/'Table 22'!$X43*100</f>
        <v>0</v>
      </c>
      <c r="U43" s="17">
        <f>'Table 22'!U43/'Table 22'!$X43*100</f>
        <v>0</v>
      </c>
      <c r="V43" s="17">
        <f>'Table 22'!V43/'Table 22'!$X43*100</f>
        <v>0</v>
      </c>
      <c r="W43" s="17">
        <f>'Table 22'!W43/'Table 22'!$X43*100</f>
        <v>0.10964912280701754</v>
      </c>
      <c r="X43" s="12">
        <f t="shared" si="0"/>
        <v>99.999999999999986</v>
      </c>
    </row>
    <row r="44" spans="1:24">
      <c r="E44" s="16"/>
      <c r="F44" s="16"/>
      <c r="G44" s="16"/>
      <c r="H44" s="16"/>
      <c r="I44" s="18"/>
      <c r="J44" s="18"/>
      <c r="K44" s="19"/>
      <c r="L44" s="16"/>
      <c r="M44" s="16"/>
      <c r="N44" s="16"/>
      <c r="O44" s="16"/>
      <c r="P44" s="16"/>
      <c r="Q44" s="19"/>
      <c r="R44" s="18"/>
      <c r="S44" s="18"/>
      <c r="T44" s="18"/>
      <c r="U44" s="18"/>
      <c r="V44" s="18"/>
      <c r="W44" s="18"/>
    </row>
    <row r="45" spans="1:24">
      <c r="J45" s="17"/>
    </row>
    <row r="46" spans="1:24" s="13" customFormat="1">
      <c r="A46" s="22"/>
      <c r="B46" s="22"/>
      <c r="C46" s="15"/>
      <c r="D46" s="15"/>
    </row>
    <row r="47" spans="1:24">
      <c r="T47" s="17"/>
    </row>
  </sheetData>
  <mergeCells count="8">
    <mergeCell ref="L1:P1"/>
    <mergeCell ref="R1:W1"/>
    <mergeCell ref="A1:A2"/>
    <mergeCell ref="B1:B2"/>
    <mergeCell ref="C1:C2"/>
    <mergeCell ref="D1:D2"/>
    <mergeCell ref="E1:H1"/>
    <mergeCell ref="I1:K1"/>
  </mergeCells>
  <printOptions gridLines="1"/>
  <pageMargins left="0.7" right="0.7" top="0.75" bottom="0.75" header="0.3" footer="0.3"/>
  <pageSetup paperSize="17" scale="90" orientation="landscape" r:id="rId1"/>
  <headerFoot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Read Me</vt:lpstr>
      <vt:lpstr>Table 19</vt:lpstr>
      <vt:lpstr>Table 20</vt:lpstr>
      <vt:lpstr>Table 21</vt:lpstr>
      <vt:lpstr>Table 22</vt:lpstr>
      <vt:lpstr>Table 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Trommelen</dc:creator>
  <cp:lastModifiedBy>csteffano</cp:lastModifiedBy>
  <cp:lastPrinted>2013-01-25T19:33:48Z</cp:lastPrinted>
  <dcterms:created xsi:type="dcterms:W3CDTF">2010-12-29T21:44:53Z</dcterms:created>
  <dcterms:modified xsi:type="dcterms:W3CDTF">2013-09-09T17:15:12Z</dcterms:modified>
</cp:coreProperties>
</file>